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-15" yWindow="45" windowWidth="19170" windowHeight="5715"/>
  </bookViews>
  <sheets>
    <sheet name="Serie, dal 2014" sheetId="3" r:id="rId1"/>
    <sheet name="Serie, 2000-2013" sheetId="1" r:id="rId2"/>
  </sheets>
  <definedNames>
    <definedName name="_xlnm.Print_Titles" localSheetId="1">'Serie, 2000-2013'!$A:$D,'Serie, 2000-2013'!$1:$7</definedName>
    <definedName name="_xlnm.Print_Titles" localSheetId="0">'Serie, dal 2014'!$A:$D,'Serie, dal 2014'!$1:$7</definedName>
  </definedNames>
  <calcPr calcId="162913"/>
</workbook>
</file>

<file path=xl/calcChain.xml><?xml version="1.0" encoding="utf-8"?>
<calcChain xmlns="http://schemas.openxmlformats.org/spreadsheetml/2006/main">
  <c r="Q120" i="1" l="1"/>
  <c r="Q104" i="1"/>
  <c r="Q62" i="1"/>
  <c r="Q122" i="1"/>
  <c r="Q116" i="1"/>
  <c r="Q110" i="1"/>
  <c r="Q106" i="1"/>
  <c r="Q93" i="1"/>
  <c r="Q74" i="1" s="1"/>
  <c r="Q85" i="1"/>
  <c r="Q82" i="1"/>
  <c r="Q75" i="1"/>
  <c r="Q64" i="1"/>
  <c r="Q56" i="1"/>
  <c r="Q47" i="1"/>
  <c r="Q43" i="1"/>
  <c r="Q39" i="1"/>
  <c r="Q35" i="1"/>
  <c r="Q30" i="1"/>
  <c r="Q19" i="1"/>
  <c r="Q8" i="1" s="1"/>
  <c r="Q9" i="1"/>
  <c r="P122" i="1"/>
  <c r="P116" i="1"/>
  <c r="P110" i="1"/>
  <c r="P106" i="1"/>
  <c r="P93" i="1"/>
  <c r="P85" i="1"/>
  <c r="P82" i="1"/>
  <c r="P75" i="1"/>
  <c r="P74" i="1" s="1"/>
  <c r="P64" i="1"/>
  <c r="P56" i="1"/>
  <c r="P47" i="1"/>
  <c r="P43" i="1"/>
  <c r="P39" i="1"/>
  <c r="P35" i="1"/>
  <c r="P30" i="1"/>
  <c r="P19" i="1"/>
  <c r="P9" i="1"/>
  <c r="P8" i="1" s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G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H122" i="1" s="1"/>
  <c r="G124" i="1"/>
  <c r="F124" i="1"/>
  <c r="E124" i="1"/>
  <c r="E122" i="1" s="1"/>
  <c r="I123" i="1"/>
  <c r="I122" i="1" s="1"/>
  <c r="H123" i="1"/>
  <c r="G123" i="1"/>
  <c r="G122" i="1" s="1"/>
  <c r="F123" i="1"/>
  <c r="F122" i="1" s="1"/>
  <c r="E123" i="1"/>
  <c r="O122" i="1"/>
  <c r="N122" i="1"/>
  <c r="M122" i="1"/>
  <c r="L122" i="1"/>
  <c r="K122" i="1"/>
  <c r="J122" i="1"/>
  <c r="I121" i="1"/>
  <c r="I120" i="1"/>
  <c r="H121" i="1"/>
  <c r="H120" i="1" s="1"/>
  <c r="G121" i="1"/>
  <c r="G120" i="1"/>
  <c r="F121" i="1"/>
  <c r="F120" i="1" s="1"/>
  <c r="E121" i="1"/>
  <c r="E120" i="1"/>
  <c r="I118" i="1"/>
  <c r="I116" i="1" s="1"/>
  <c r="H118" i="1"/>
  <c r="G118" i="1"/>
  <c r="F118" i="1"/>
  <c r="E118" i="1"/>
  <c r="I117" i="1"/>
  <c r="H117" i="1"/>
  <c r="G117" i="1"/>
  <c r="G116" i="1" s="1"/>
  <c r="F117" i="1"/>
  <c r="F116" i="1"/>
  <c r="E117" i="1"/>
  <c r="E116" i="1" s="1"/>
  <c r="O116" i="1"/>
  <c r="N116" i="1"/>
  <c r="M116" i="1"/>
  <c r="M74" i="1" s="1"/>
  <c r="L116" i="1"/>
  <c r="K116" i="1"/>
  <c r="J116" i="1"/>
  <c r="I115" i="1"/>
  <c r="H115" i="1"/>
  <c r="G115" i="1"/>
  <c r="F115" i="1"/>
  <c r="F110" i="1" s="1"/>
  <c r="E115" i="1"/>
  <c r="J114" i="1"/>
  <c r="I114" i="1"/>
  <c r="H114" i="1"/>
  <c r="G114" i="1"/>
  <c r="F114" i="1"/>
  <c r="E114" i="1"/>
  <c r="I113" i="1"/>
  <c r="I110" i="1" s="1"/>
  <c r="H113" i="1"/>
  <c r="G113" i="1"/>
  <c r="F113" i="1"/>
  <c r="E113" i="1"/>
  <c r="J112" i="1"/>
  <c r="I112" i="1"/>
  <c r="H112" i="1"/>
  <c r="G112" i="1"/>
  <c r="F112" i="1"/>
  <c r="E112" i="1"/>
  <c r="I111" i="1"/>
  <c r="H111" i="1"/>
  <c r="H110" i="1" s="1"/>
  <c r="G111" i="1"/>
  <c r="G110" i="1" s="1"/>
  <c r="F111" i="1"/>
  <c r="E111" i="1"/>
  <c r="E110" i="1" s="1"/>
  <c r="O110" i="1"/>
  <c r="N110" i="1"/>
  <c r="M110" i="1"/>
  <c r="L110" i="1"/>
  <c r="K110" i="1"/>
  <c r="I109" i="1"/>
  <c r="H109" i="1"/>
  <c r="G109" i="1"/>
  <c r="F109" i="1"/>
  <c r="E109" i="1"/>
  <c r="I108" i="1"/>
  <c r="I106" i="1" s="1"/>
  <c r="H108" i="1"/>
  <c r="G108" i="1"/>
  <c r="F108" i="1"/>
  <c r="F106" i="1"/>
  <c r="E108" i="1"/>
  <c r="E106" i="1" s="1"/>
  <c r="I107" i="1"/>
  <c r="H107" i="1"/>
  <c r="H106" i="1"/>
  <c r="G107" i="1"/>
  <c r="G106" i="1" s="1"/>
  <c r="F107" i="1"/>
  <c r="E107" i="1"/>
  <c r="O106" i="1"/>
  <c r="N106" i="1"/>
  <c r="M106" i="1"/>
  <c r="L106" i="1"/>
  <c r="K106" i="1"/>
  <c r="J106" i="1"/>
  <c r="I105" i="1"/>
  <c r="H105" i="1"/>
  <c r="H104" i="1" s="1"/>
  <c r="G105" i="1"/>
  <c r="F105" i="1"/>
  <c r="F104" i="1"/>
  <c r="E105" i="1"/>
  <c r="E104" i="1"/>
  <c r="I104" i="1"/>
  <c r="G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E93" i="1" s="1"/>
  <c r="I96" i="1"/>
  <c r="H96" i="1"/>
  <c r="G96" i="1"/>
  <c r="F96" i="1"/>
  <c r="E96" i="1"/>
  <c r="I95" i="1"/>
  <c r="H95" i="1"/>
  <c r="H93" i="1" s="1"/>
  <c r="G95" i="1"/>
  <c r="G93" i="1" s="1"/>
  <c r="F95" i="1"/>
  <c r="E95" i="1"/>
  <c r="I94" i="1"/>
  <c r="I93" i="1"/>
  <c r="H94" i="1"/>
  <c r="G94" i="1"/>
  <c r="F94" i="1"/>
  <c r="F93" i="1" s="1"/>
  <c r="E94" i="1"/>
  <c r="O93" i="1"/>
  <c r="N93" i="1"/>
  <c r="M93" i="1"/>
  <c r="L93" i="1"/>
  <c r="L74" i="1"/>
  <c r="K93" i="1"/>
  <c r="J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E85" i="1" s="1"/>
  <c r="I88" i="1"/>
  <c r="H88" i="1"/>
  <c r="G88" i="1"/>
  <c r="F88" i="1"/>
  <c r="E88" i="1"/>
  <c r="I87" i="1"/>
  <c r="H87" i="1"/>
  <c r="H85" i="1" s="1"/>
  <c r="G87" i="1"/>
  <c r="F87" i="1"/>
  <c r="E87" i="1"/>
  <c r="I86" i="1"/>
  <c r="I85" i="1"/>
  <c r="H86" i="1"/>
  <c r="G86" i="1"/>
  <c r="G85" i="1" s="1"/>
  <c r="F86" i="1"/>
  <c r="F85" i="1" s="1"/>
  <c r="E86" i="1"/>
  <c r="O85" i="1"/>
  <c r="N85" i="1"/>
  <c r="M85" i="1"/>
  <c r="L85" i="1"/>
  <c r="K85" i="1"/>
  <c r="J85" i="1"/>
  <c r="I84" i="1"/>
  <c r="H84" i="1"/>
  <c r="H82" i="1" s="1"/>
  <c r="G84" i="1"/>
  <c r="F84" i="1"/>
  <c r="F82" i="1"/>
  <c r="E84" i="1"/>
  <c r="I83" i="1"/>
  <c r="I82" i="1" s="1"/>
  <c r="H83" i="1"/>
  <c r="G83" i="1"/>
  <c r="G82" i="1"/>
  <c r="F83" i="1"/>
  <c r="E83" i="1"/>
  <c r="E82" i="1" s="1"/>
  <c r="O82" i="1"/>
  <c r="O74" i="1" s="1"/>
  <c r="N82" i="1"/>
  <c r="M82" i="1"/>
  <c r="L82" i="1"/>
  <c r="K82" i="1"/>
  <c r="J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G75" i="1" s="1"/>
  <c r="F78" i="1"/>
  <c r="E78" i="1"/>
  <c r="I77" i="1"/>
  <c r="I75" i="1" s="1"/>
  <c r="I74" i="1" s="1"/>
  <c r="H77" i="1"/>
  <c r="H75" i="1" s="1"/>
  <c r="G77" i="1"/>
  <c r="F77" i="1"/>
  <c r="E77" i="1"/>
  <c r="I76" i="1"/>
  <c r="H76" i="1"/>
  <c r="G76" i="1"/>
  <c r="F76" i="1"/>
  <c r="F75" i="1" s="1"/>
  <c r="F74" i="1" s="1"/>
  <c r="E76" i="1"/>
  <c r="E75" i="1" s="1"/>
  <c r="O75" i="1"/>
  <c r="N75" i="1"/>
  <c r="N74" i="1"/>
  <c r="M75" i="1"/>
  <c r="L75" i="1"/>
  <c r="K75" i="1"/>
  <c r="K74" i="1"/>
  <c r="J75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I64" i="1" s="1"/>
  <c r="H66" i="1"/>
  <c r="G66" i="1"/>
  <c r="G64" i="1" s="1"/>
  <c r="F66" i="1"/>
  <c r="E66" i="1"/>
  <c r="I65" i="1"/>
  <c r="H65" i="1"/>
  <c r="H64" i="1" s="1"/>
  <c r="G65" i="1"/>
  <c r="F65" i="1"/>
  <c r="F64" i="1" s="1"/>
  <c r="E65" i="1"/>
  <c r="E64" i="1" s="1"/>
  <c r="O64" i="1"/>
  <c r="N64" i="1"/>
  <c r="M64" i="1"/>
  <c r="L64" i="1"/>
  <c r="K64" i="1"/>
  <c r="J64" i="1"/>
  <c r="I63" i="1"/>
  <c r="I62" i="1"/>
  <c r="H63" i="1"/>
  <c r="G63" i="1"/>
  <c r="G62" i="1"/>
  <c r="F63" i="1"/>
  <c r="F62" i="1" s="1"/>
  <c r="E63" i="1"/>
  <c r="E62" i="1"/>
  <c r="H62" i="1"/>
  <c r="I61" i="1"/>
  <c r="H61" i="1"/>
  <c r="G61" i="1"/>
  <c r="F61" i="1"/>
  <c r="E61" i="1"/>
  <c r="I60" i="1"/>
  <c r="H60" i="1"/>
  <c r="G60" i="1"/>
  <c r="F60" i="1"/>
  <c r="E60" i="1"/>
  <c r="I58" i="1"/>
  <c r="I56" i="1"/>
  <c r="H58" i="1"/>
  <c r="G58" i="1"/>
  <c r="G56" i="1" s="1"/>
  <c r="F58" i="1"/>
  <c r="E58" i="1"/>
  <c r="E56" i="1"/>
  <c r="I57" i="1"/>
  <c r="H57" i="1"/>
  <c r="H56" i="1" s="1"/>
  <c r="G57" i="1"/>
  <c r="F57" i="1"/>
  <c r="F56" i="1"/>
  <c r="E57" i="1"/>
  <c r="O56" i="1"/>
  <c r="N56" i="1"/>
  <c r="M56" i="1"/>
  <c r="L56" i="1"/>
  <c r="K56" i="1"/>
  <c r="J56" i="1"/>
  <c r="I55" i="1"/>
  <c r="H55" i="1"/>
  <c r="G55" i="1"/>
  <c r="F55" i="1"/>
  <c r="E55" i="1"/>
  <c r="I54" i="1"/>
  <c r="H54" i="1"/>
  <c r="G54" i="1"/>
  <c r="F54" i="1"/>
  <c r="F47" i="1" s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I47" i="1" s="1"/>
  <c r="H49" i="1"/>
  <c r="G49" i="1"/>
  <c r="F49" i="1"/>
  <c r="E49" i="1"/>
  <c r="I48" i="1"/>
  <c r="H48" i="1"/>
  <c r="H47" i="1" s="1"/>
  <c r="G48" i="1"/>
  <c r="G47" i="1" s="1"/>
  <c r="F48" i="1"/>
  <c r="E48" i="1"/>
  <c r="E47" i="1" s="1"/>
  <c r="O47" i="1"/>
  <c r="N47" i="1"/>
  <c r="M47" i="1"/>
  <c r="L47" i="1"/>
  <c r="K47" i="1"/>
  <c r="J47" i="1"/>
  <c r="I46" i="1"/>
  <c r="H46" i="1"/>
  <c r="G46" i="1"/>
  <c r="F46" i="1"/>
  <c r="E46" i="1"/>
  <c r="E43" i="1" s="1"/>
  <c r="I45" i="1"/>
  <c r="H45" i="1"/>
  <c r="G45" i="1"/>
  <c r="F45" i="1"/>
  <c r="E45" i="1"/>
  <c r="I44" i="1"/>
  <c r="I43" i="1" s="1"/>
  <c r="H44" i="1"/>
  <c r="H43" i="1" s="1"/>
  <c r="G44" i="1"/>
  <c r="G43" i="1" s="1"/>
  <c r="F44" i="1"/>
  <c r="F43" i="1"/>
  <c r="E44" i="1"/>
  <c r="O43" i="1"/>
  <c r="N43" i="1"/>
  <c r="M43" i="1"/>
  <c r="L43" i="1"/>
  <c r="K43" i="1"/>
  <c r="J43" i="1"/>
  <c r="I41" i="1"/>
  <c r="I39" i="1" s="1"/>
  <c r="H41" i="1"/>
  <c r="G41" i="1"/>
  <c r="F41" i="1"/>
  <c r="E41" i="1"/>
  <c r="I40" i="1"/>
  <c r="H40" i="1"/>
  <c r="H39" i="1" s="1"/>
  <c r="G40" i="1"/>
  <c r="G39" i="1"/>
  <c r="F40" i="1"/>
  <c r="F39" i="1" s="1"/>
  <c r="E40" i="1"/>
  <c r="E39" i="1" s="1"/>
  <c r="O39" i="1"/>
  <c r="N39" i="1"/>
  <c r="M39" i="1"/>
  <c r="L39" i="1"/>
  <c r="K39" i="1"/>
  <c r="J39" i="1"/>
  <c r="I37" i="1"/>
  <c r="H37" i="1"/>
  <c r="G37" i="1"/>
  <c r="F37" i="1"/>
  <c r="E37" i="1"/>
  <c r="I36" i="1"/>
  <c r="I35" i="1"/>
  <c r="H36" i="1"/>
  <c r="H35" i="1" s="1"/>
  <c r="G36" i="1"/>
  <c r="G35" i="1"/>
  <c r="F36" i="1"/>
  <c r="F35" i="1" s="1"/>
  <c r="E36" i="1"/>
  <c r="E35" i="1"/>
  <c r="O35" i="1"/>
  <c r="N35" i="1"/>
  <c r="M35" i="1"/>
  <c r="L35" i="1"/>
  <c r="K35" i="1"/>
  <c r="J35" i="1"/>
  <c r="I34" i="1"/>
  <c r="H34" i="1"/>
  <c r="G34" i="1"/>
  <c r="F34" i="1"/>
  <c r="E34" i="1"/>
  <c r="I33" i="1"/>
  <c r="I30" i="1" s="1"/>
  <c r="I8" i="1" s="1"/>
  <c r="H33" i="1"/>
  <c r="G33" i="1"/>
  <c r="F33" i="1"/>
  <c r="E33" i="1"/>
  <c r="E30" i="1" s="1"/>
  <c r="I32" i="1"/>
  <c r="H32" i="1"/>
  <c r="G32" i="1"/>
  <c r="F32" i="1"/>
  <c r="E32" i="1"/>
  <c r="N31" i="1"/>
  <c r="N30" i="1" s="1"/>
  <c r="M31" i="1"/>
  <c r="M30" i="1" s="1"/>
  <c r="M8" i="1" s="1"/>
  <c r="K31" i="1"/>
  <c r="K30" i="1"/>
  <c r="J31" i="1"/>
  <c r="J30" i="1" s="1"/>
  <c r="I31" i="1"/>
  <c r="H31" i="1"/>
  <c r="H30" i="1" s="1"/>
  <c r="G31" i="1"/>
  <c r="G30" i="1" s="1"/>
  <c r="F31" i="1"/>
  <c r="E31" i="1"/>
  <c r="O30" i="1"/>
  <c r="L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H19" i="1"/>
  <c r="G23" i="1"/>
  <c r="F23" i="1"/>
  <c r="E23" i="1"/>
  <c r="I22" i="1"/>
  <c r="H22" i="1"/>
  <c r="G22" i="1"/>
  <c r="F22" i="1"/>
  <c r="E22" i="1"/>
  <c r="E19" i="1" s="1"/>
  <c r="I21" i="1"/>
  <c r="H21" i="1"/>
  <c r="G21" i="1"/>
  <c r="G19" i="1"/>
  <c r="F21" i="1"/>
  <c r="E21" i="1"/>
  <c r="I20" i="1"/>
  <c r="I19" i="1"/>
  <c r="H20" i="1"/>
  <c r="G20" i="1"/>
  <c r="F20" i="1"/>
  <c r="F19" i="1"/>
  <c r="E20" i="1"/>
  <c r="O19" i="1"/>
  <c r="N19" i="1"/>
  <c r="M19" i="1"/>
  <c r="L19" i="1"/>
  <c r="K19" i="1"/>
  <c r="K8" i="1"/>
  <c r="J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I9" i="1"/>
  <c r="H13" i="1"/>
  <c r="G13" i="1"/>
  <c r="F13" i="1"/>
  <c r="E13" i="1"/>
  <c r="I12" i="1"/>
  <c r="H12" i="1"/>
  <c r="G12" i="1"/>
  <c r="F12" i="1"/>
  <c r="E12" i="1"/>
  <c r="I11" i="1"/>
  <c r="H11" i="1"/>
  <c r="H9" i="1" s="1"/>
  <c r="H8" i="1" s="1"/>
  <c r="G11" i="1"/>
  <c r="F11" i="1"/>
  <c r="E11" i="1"/>
  <c r="E9" i="1" s="1"/>
  <c r="I10" i="1"/>
  <c r="H10" i="1"/>
  <c r="G10" i="1"/>
  <c r="G9" i="1" s="1"/>
  <c r="F10" i="1"/>
  <c r="F9" i="1" s="1"/>
  <c r="E10" i="1"/>
  <c r="O9" i="1"/>
  <c r="O8" i="1" s="1"/>
  <c r="N9" i="1"/>
  <c r="M9" i="1"/>
  <c r="L9" i="1"/>
  <c r="L8" i="1"/>
  <c r="K9" i="1"/>
  <c r="J9" i="1"/>
  <c r="F30" i="1"/>
  <c r="J110" i="1"/>
  <c r="H116" i="1"/>
  <c r="F8" i="1" l="1"/>
  <c r="E8" i="1"/>
  <c r="G8" i="1"/>
  <c r="E74" i="1"/>
  <c r="H74" i="1"/>
  <c r="G74" i="1"/>
</calcChain>
</file>

<file path=xl/sharedStrings.xml><?xml version="1.0" encoding="utf-8"?>
<sst xmlns="http://schemas.openxmlformats.org/spreadsheetml/2006/main" count="285" uniqueCount="244">
  <si>
    <t>Spese correnti</t>
  </si>
  <si>
    <t>Spese per il personale</t>
  </si>
  <si>
    <t>Onorari e indennità autorità, commissioni e magistrati</t>
  </si>
  <si>
    <t>Stipendi e indennità personale amministrativo</t>
  </si>
  <si>
    <t>Stipendi e indennità docenti</t>
  </si>
  <si>
    <t>Contributi AVS, AI, IPG, AD e AF</t>
  </si>
  <si>
    <t>Contributi alla cassa pensione</t>
  </si>
  <si>
    <t>Premi assicurazione infortuni e malattie</t>
  </si>
  <si>
    <t>Abiti di servizio, indennità per vitto e alloggi</t>
  </si>
  <si>
    <t>Prestazioni ai pensionati</t>
  </si>
  <si>
    <t>Altre spese per il personale</t>
  </si>
  <si>
    <t>Spese per beni e servizi</t>
  </si>
  <si>
    <t>Materiale d'ufficio, scolastico e stampati</t>
  </si>
  <si>
    <t>Acquisto mobili, macchine, veicoli e attrezzature</t>
  </si>
  <si>
    <t>Acqua, energia e combustibili</t>
  </si>
  <si>
    <t>Altro materiale di consumo</t>
  </si>
  <si>
    <t>Manutenzione stabili, strade e strutture</t>
  </si>
  <si>
    <t>Manutenzione mobili, macchine, veicoli e attrezzature</t>
  </si>
  <si>
    <t>Locazioni, affitti, noleggi e tasse d'utilizzazione</t>
  </si>
  <si>
    <t>Rimborso spese</t>
  </si>
  <si>
    <t>Servizi e onorari</t>
  </si>
  <si>
    <t>Altre spese per beni e servizi</t>
  </si>
  <si>
    <t>Interessi passivi</t>
  </si>
  <si>
    <t>Interessi passivi per debiti a breve termine</t>
  </si>
  <si>
    <t>Interessi passivi per debiti a media e a lunga scadenza</t>
  </si>
  <si>
    <t>Interessi passivi per conti speciali</t>
  </si>
  <si>
    <t>Altri interessi passivi</t>
  </si>
  <si>
    <t>Ammortamenti</t>
  </si>
  <si>
    <t>Ammortamenti dei beni patrimoniali</t>
  </si>
  <si>
    <t>Ammortamenti ordinari dei beni amministrativi</t>
  </si>
  <si>
    <t>Ammortamenti straordinari dei beni amministrativi</t>
  </si>
  <si>
    <t>…</t>
  </si>
  <si>
    <t>Partecipazioni e contributi senza precisa destinazione</t>
  </si>
  <si>
    <t>Partecipazione su entrate a comuni</t>
  </si>
  <si>
    <t>Contributi senza precisa destinazione a comuni</t>
  </si>
  <si>
    <t>Contributi senza precisa destinazione alla confederazione</t>
  </si>
  <si>
    <t>Rimborsi a enti pubblici</t>
  </si>
  <si>
    <t>Rimborsi alla Confederazione</t>
  </si>
  <si>
    <t>Rimborsi a cantoni</t>
  </si>
  <si>
    <t>Rimborsi a comuni e consorzi comunali</t>
  </si>
  <si>
    <t>Contributi Cantonali</t>
  </si>
  <si>
    <t>Contributi alla Confederazione</t>
  </si>
  <si>
    <t>Contributi a cantoni</t>
  </si>
  <si>
    <t>Contributi a comuni e consorzi comunali</t>
  </si>
  <si>
    <t>Contributi a istituti propri</t>
  </si>
  <si>
    <t>Contributi a imprese ad economia mista</t>
  </si>
  <si>
    <t>Contributi a istituzioni private</t>
  </si>
  <si>
    <t>Contributi a economie private</t>
  </si>
  <si>
    <t>Contributi a istituzioni estere</t>
  </si>
  <si>
    <t>Riversamento contributi da terzi</t>
  </si>
  <si>
    <t>Riversamento contributi a comuni e consorzi comunali</t>
  </si>
  <si>
    <t>Riversamento contributi a istituti propri</t>
  </si>
  <si>
    <t>Riversamento contributi a imprese ad economia mista</t>
  </si>
  <si>
    <t>Riversamento contributi a istituzioni private</t>
  </si>
  <si>
    <t>Riversamento contributi a economie private</t>
  </si>
  <si>
    <t>Versamenti a finanziamenti e fondi speciali</t>
  </si>
  <si>
    <t>Versamento ai fondi di riserva</t>
  </si>
  <si>
    <t>Addebiti interni per spese e contributi correnti</t>
  </si>
  <si>
    <t>Addebito per manutenzione e arredamento stabili</t>
  </si>
  <si>
    <t>Addebito per pulizia stabili</t>
  </si>
  <si>
    <t>Addebiti per affitti, acqua ed energia</t>
  </si>
  <si>
    <t>Addebito per prestazioni d'officina</t>
  </si>
  <si>
    <t>Addebito per prestazioni d'economato</t>
  </si>
  <si>
    <t>Addebiti per altri servizi</t>
  </si>
  <si>
    <t>Addebito per contributi assicurativi</t>
  </si>
  <si>
    <t>Addebito per imposte, tasse e multe</t>
  </si>
  <si>
    <t>Addebito per altri contributi</t>
  </si>
  <si>
    <t>Ricavi correnti</t>
  </si>
  <si>
    <t>Imposte</t>
  </si>
  <si>
    <t>Imposte sul reddito e sulla sostanza</t>
  </si>
  <si>
    <t>Imposte sull'utile e sul capitale</t>
  </si>
  <si>
    <t>Imposte sul reddito della sostanza</t>
  </si>
  <si>
    <t>Imposte sui movimenti in capitale</t>
  </si>
  <si>
    <t>Imposte di successione e donazione</t>
  </si>
  <si>
    <t>Imposte sul possesso e sul dispendio</t>
  </si>
  <si>
    <t>Regalie, monopoli, patenti e concessioni</t>
  </si>
  <si>
    <t>Regalie e monopoli</t>
  </si>
  <si>
    <t>Patenti e concessioni</t>
  </si>
  <si>
    <t>Redditi della sostanza</t>
  </si>
  <si>
    <t>Interessi su conti correnti bancari</t>
  </si>
  <si>
    <t>Interessi su crediti</t>
  </si>
  <si>
    <t>Dividendi e interessi su collocamenti di beni patrimoniali</t>
  </si>
  <si>
    <t>Utili contabili su beni patrimoniali</t>
  </si>
  <si>
    <t>Interessi su prestiti dei beni amministrativi</t>
  </si>
  <si>
    <t>Redditi su partecipazioni dei beni amministrativi</t>
  </si>
  <si>
    <t>Redditi immobiliari dei beni amministrativi</t>
  </si>
  <si>
    <t>Ricavi per prestazioni, tasse, multe, vendite e rimborsi</t>
  </si>
  <si>
    <t>Tasse d'esenzione</t>
  </si>
  <si>
    <t>Tasse per servizi amministrativi</t>
  </si>
  <si>
    <t>Ricavi ospedalieri, di case di cura e refezioni in genere</t>
  </si>
  <si>
    <t>Tasse scolastiche</t>
  </si>
  <si>
    <t>Altre tasse d'utilizzazione e per servizi</t>
  </si>
  <si>
    <t>Vendite materiali, mobili, macchine, veicoli e attrezzature</t>
  </si>
  <si>
    <t>Rimborsi da terzi</t>
  </si>
  <si>
    <t>Multe</t>
  </si>
  <si>
    <t>Prestazioni proprie per investimenti</t>
  </si>
  <si>
    <t>Altri ricavi per prestazioni e vendite</t>
  </si>
  <si>
    <t>Partecipaz. a entrate e contr. senza precisa destinazione</t>
  </si>
  <si>
    <t>Partecipazioni a entrate della Confederazione</t>
  </si>
  <si>
    <t>Rimborsi da enti pubblici</t>
  </si>
  <si>
    <t>Rimborsi dalla Confederazione</t>
  </si>
  <si>
    <t>Rimborsi da cantoni</t>
  </si>
  <si>
    <t>Rimborsi da comuni e consorzi comunali</t>
  </si>
  <si>
    <t>Contributi per spese correnti</t>
  </si>
  <si>
    <t>Contributi per spese correnti dalla Confederazione</t>
  </si>
  <si>
    <t>Contributi per spese correnti da cantoni</t>
  </si>
  <si>
    <t>Contributi per spese correnti da comuni e consorzi comunali</t>
  </si>
  <si>
    <t>Contributi per spese correnti da istituti propri</t>
  </si>
  <si>
    <t>Altri contributi per spese correnti</t>
  </si>
  <si>
    <t>Contributi da terzi da riversare</t>
  </si>
  <si>
    <t>Contributi dalla confederazione, da riversare</t>
  </si>
  <si>
    <t>Contributi da comuni e consorzi comunali, da riversare</t>
  </si>
  <si>
    <t>Prelevamenti da finanziamenti e fondi speciali</t>
  </si>
  <si>
    <t>Prelevamento dai fondi di riserva</t>
  </si>
  <si>
    <t>Accrediti interni per spese e contibuti correnti</t>
  </si>
  <si>
    <t>Accredito per manutenzione e arredamento stabili</t>
  </si>
  <si>
    <t>Accredito per pulizia stabili</t>
  </si>
  <si>
    <t>Accredito per affitti, acqua ed energia</t>
  </si>
  <si>
    <t>Accredito per prestazioni d'officina</t>
  </si>
  <si>
    <t>Accredito per prestazioni d'economato</t>
  </si>
  <si>
    <t>Accredito per altri servizi</t>
  </si>
  <si>
    <t>Accredito per contributi assicurativi</t>
  </si>
  <si>
    <t>Accredito per imposte, tasse e multe</t>
  </si>
  <si>
    <t>Accredito per altri contributi</t>
  </si>
  <si>
    <t>Fonte: "Consuntivo", Repubblica e Cantone del Ticino, Bellinzona</t>
  </si>
  <si>
    <t>T_180203_11C</t>
  </si>
  <si>
    <t>Ustat, ultima modifica: 08.05.2013</t>
  </si>
  <si>
    <t>Contributi da istituti propri, da riversare</t>
  </si>
  <si>
    <t>Autorità, commissioni e giudici</t>
  </si>
  <si>
    <t>Stipendi del personale amministrativo e d'esercizio</t>
  </si>
  <si>
    <t>Stipendi dei docenti</t>
  </si>
  <si>
    <t>Contributi del datore di lavoro</t>
  </si>
  <si>
    <t>Prestazioni del datore di lavoro</t>
  </si>
  <si>
    <t>Spese per beni e servizi e altre spese d'esercizio</t>
  </si>
  <si>
    <t>Spese per materiali e merci</t>
  </si>
  <si>
    <t>Investimenti non attivabili</t>
  </si>
  <si>
    <t>Approvvigionamento e smaltimento per immobili - beni amministrativi</t>
  </si>
  <si>
    <t>Prestazini di servizi e onorari</t>
  </si>
  <si>
    <t>Grosse manutenzioni e manutenzioni correnti</t>
  </si>
  <si>
    <t>Manutenzione beni mobili e investimenti immateriali</t>
  </si>
  <si>
    <t>Pigioni, leasing, affitti, costi d'utilizzo</t>
  </si>
  <si>
    <t>Indennità per il rimborso spese</t>
  </si>
  <si>
    <t>Rettifica di valore e perdite su crediti</t>
  </si>
  <si>
    <t>Diverse spese d'esercizio</t>
  </si>
  <si>
    <t>Ammortamenti beni amministrativi materiali e immateriali</t>
  </si>
  <si>
    <t>Spese finanziarie</t>
  </si>
  <si>
    <t>Spese per interessi</t>
  </si>
  <si>
    <t>Perdite realizzate su cambi</t>
  </si>
  <si>
    <t>Altre spese finanziarie</t>
  </si>
  <si>
    <t>Versamenti a fondi e finanziamenti speciali</t>
  </si>
  <si>
    <t>Versamenti a fondi e finanziamenti speciali - cap. terzi</t>
  </si>
  <si>
    <t>Spese di trasferimento</t>
  </si>
  <si>
    <t>Quote di ricavo destinate a terzi</t>
  </si>
  <si>
    <t>Quote di ricavo alla Confederazione</t>
  </si>
  <si>
    <t>Quote di ricavo a comuni e consorzi comunali</t>
  </si>
  <si>
    <t>Quote di ricavo a imprese pubbliche</t>
  </si>
  <si>
    <t>Perequazione finanziaria e compensazione degli oneri</t>
  </si>
  <si>
    <t>Perequazione e compensazione a cantoni</t>
  </si>
  <si>
    <t>Perequazione e compensazione a comuni</t>
  </si>
  <si>
    <t>Contributi a enti pubblici e a terzi</t>
  </si>
  <si>
    <t>Contributi a cantoni e concordati</t>
  </si>
  <si>
    <t>Contributi ad assicurazioni sociali pubbliche</t>
  </si>
  <si>
    <t>Contributi a imprese pubbliche</t>
  </si>
  <si>
    <t>Contributi a imprese private</t>
  </si>
  <si>
    <t>Contributi a organizzazioni private senza scopo di lucro</t>
  </si>
  <si>
    <t>Contributi a economie domestiche private</t>
  </si>
  <si>
    <t>Contributi all'estero</t>
  </si>
  <si>
    <t>Rettifica di valore su prestiti - beni amministrativi</t>
  </si>
  <si>
    <t>Rettifica di valore partecipazioni - beni amministrativi</t>
  </si>
  <si>
    <t>Ammortamenti su contributi per investimenti</t>
  </si>
  <si>
    <t>Diverse spese di riversamento</t>
  </si>
  <si>
    <t>Riversamento contributi alle imprese pubbliche</t>
  </si>
  <si>
    <t>Riversamento contributi alle imprese private</t>
  </si>
  <si>
    <t>Riversamento contributi alle organizzazioni private s/scopo di lucro</t>
  </si>
  <si>
    <t>Spese straordinarie</t>
  </si>
  <si>
    <t>Versamenti al capitale proprio</t>
  </si>
  <si>
    <t>Acquisto di materiale e di merci</t>
  </si>
  <si>
    <t>Prestazioni di servizi</t>
  </si>
  <si>
    <t>Affitti, pigioni, noli, costi di utilizzazione</t>
  </si>
  <si>
    <t>Costi d'esercizio e amministrativi</t>
  </si>
  <si>
    <t>Trasferimenti a servizi</t>
  </si>
  <si>
    <t>Spese</t>
  </si>
  <si>
    <t>Ricavi</t>
  </si>
  <si>
    <t>Ricavi fiscali</t>
  </si>
  <si>
    <t>Imposte dirette delle persone fisiche</t>
  </si>
  <si>
    <t>Imposte dirette delle persone giuridiche</t>
  </si>
  <si>
    <t>Altre imposte dirette</t>
  </si>
  <si>
    <t>Imposte sul possesso e sulla spesa</t>
  </si>
  <si>
    <t>Regalie e concessioni</t>
  </si>
  <si>
    <t>Regalie</t>
  </si>
  <si>
    <t>Concessioni</t>
  </si>
  <si>
    <t>Quote del prodotto di lotterie, sport-toto e scommesse</t>
  </si>
  <si>
    <t>Ricavi per tasse</t>
  </si>
  <si>
    <t>Emolumenti per atti ufficiali</t>
  </si>
  <si>
    <t>Tasse di ospedali e ospizi, rette</t>
  </si>
  <si>
    <t>Tasse scolastiche e per corsi</t>
  </si>
  <si>
    <t>Tasse d'uso e prestazioni di servizi</t>
  </si>
  <si>
    <t>Ricavi da vendite</t>
  </si>
  <si>
    <t>Rimborsi</t>
  </si>
  <si>
    <t>Ricavi diversi</t>
  </si>
  <si>
    <t>Ricavi d'esercizio diversi</t>
  </si>
  <si>
    <t>Iscrizioni all'attivo di prestazioni proprie</t>
  </si>
  <si>
    <t>Altri ricavi</t>
  </si>
  <si>
    <t>Ricavi finanziari</t>
  </si>
  <si>
    <t>Ricavi per interessi</t>
  </si>
  <si>
    <t>Utili realizzati beni patrimoniali</t>
  </si>
  <si>
    <t>Ricavi finanziari da imprese pubbliche</t>
  </si>
  <si>
    <t>Redditi immobiliari beni amministrativi</t>
  </si>
  <si>
    <t>Ricavi finanziari da prestiti e partecipazioni beni amministrativi</t>
  </si>
  <si>
    <t>Prelievi da fondi e finanziamenti speciali</t>
  </si>
  <si>
    <t>Prelievi da fondi e finanziamenti speciali - capitale terzi</t>
  </si>
  <si>
    <t>Ricavi da trasferimento</t>
  </si>
  <si>
    <t>Quote di ricavo</t>
  </si>
  <si>
    <t>Rimborsi di enti pubblici</t>
  </si>
  <si>
    <t>Perequazione e compensazione dalla Confederazione</t>
  </si>
  <si>
    <t>Perequazione e compensazione da comuni e consorzi comunali</t>
  </si>
  <si>
    <t>Contributi di enti pubblici e terzi</t>
  </si>
  <si>
    <t>Contributi della Confederazione</t>
  </si>
  <si>
    <t>Contributi di comuni e consorzi comunali</t>
  </si>
  <si>
    <t>Contributi di assicurazioni sociali pubbliche</t>
  </si>
  <si>
    <t>Contributi di imprese private</t>
  </si>
  <si>
    <t>Contributi di organizzazioni private senza scopo di lucro</t>
  </si>
  <si>
    <t>Contributi di economie domestiche private</t>
  </si>
  <si>
    <t>Contributi dall'estero</t>
  </si>
  <si>
    <t>Altri ricavi da riversamenti</t>
  </si>
  <si>
    <t>Contributi dalla Confederazione</t>
  </si>
  <si>
    <t>Contributi da comuni e consorzi comunali</t>
  </si>
  <si>
    <t>Contributi da imprese pubbliche</t>
  </si>
  <si>
    <t>Prelievi dal capitale proprio</t>
  </si>
  <si>
    <r>
      <t>Conto di gestione corrente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2000 al 2013</t>
    </r>
  </si>
  <si>
    <r>
      <t>1</t>
    </r>
    <r>
      <rPr>
        <sz val="8"/>
        <rFont val="Arial"/>
        <family val="2"/>
      </rPr>
      <t>Eventuali differenze tra le somme dei valori e i totali presentati, come pure tra questi ultimi e quelli che figurano nella tabella T_180203_08C, sono dovute ad arrotondamenti.</t>
    </r>
  </si>
  <si>
    <t>Avvertenza: nel corso del 2014 il Cantone ha introdotto il nuovo modello contabile armonizzato per Cantoni e Comuni (MCA2). L'introduzione del MCA2 comporta quindi un'interruzione di serie (v. a. le Definizioni). I dati a partire dal 2014 sono presentati secondo il MCA2, i dati fino al 2013 secondo il MCA1.</t>
  </si>
  <si>
    <r>
      <t>Conto di gestione corrente del Cantone Ticino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mille franchi), dal 2014</t>
    </r>
  </si>
  <si>
    <t>Banca Nazionale Svizzera</t>
  </si>
  <si>
    <t>Ricavi straordinari</t>
  </si>
  <si>
    <t>Costi di raccolta di capitale e di gestione</t>
  </si>
  <si>
    <t>Rettifica di valore di investimenti beni patrimoniali</t>
  </si>
  <si>
    <t>Altri ricavi finanziari</t>
  </si>
  <si>
    <t>Contributi di imprese pubbliche</t>
  </si>
  <si>
    <t>Accrediti interni per spese e contributi correnti</t>
  </si>
  <si>
    <t>Spese straordinarie per beni e servizi e d'esercizio</t>
  </si>
  <si>
    <t>Proventi da partecipazioni beni patrimoniali</t>
  </si>
  <si>
    <t>Contributi da imprese private</t>
  </si>
  <si>
    <t>Ustat, ultima modifica: 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</si>
</sst>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8" fillId="0" borderId="5" xfId="0" applyFont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/>
    <xf numFmtId="0" fontId="8" fillId="0" borderId="7" xfId="0" applyFont="1" applyBorder="1"/>
    <xf numFmtId="3" fontId="8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top"/>
    </xf>
    <xf numFmtId="3" fontId="5" fillId="0" borderId="6" xfId="0" applyNumberFormat="1" applyFont="1" applyBorder="1" applyAlignment="1">
      <alignment vertical="top"/>
    </xf>
    <xf numFmtId="0" fontId="5" fillId="0" borderId="0" xfId="0" applyFont="1" applyBorder="1"/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0" fontId="5" fillId="0" borderId="5" xfId="0" applyFont="1" applyBorder="1"/>
    <xf numFmtId="0" fontId="8" fillId="0" borderId="0" xfId="0" applyFont="1" applyBorder="1"/>
    <xf numFmtId="3" fontId="8" fillId="0" borderId="6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/>
    <xf numFmtId="3" fontId="8" fillId="0" borderId="6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vertical="top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5" xfId="0" applyFont="1" applyBorder="1" applyAlignment="1">
      <alignment vertical="top"/>
    </xf>
    <xf numFmtId="3" fontId="5" fillId="0" borderId="0" xfId="0" applyNumberFormat="1" applyFont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/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3" fontId="5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top"/>
    </xf>
    <xf numFmtId="3" fontId="5" fillId="0" borderId="7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vertical="top"/>
    </xf>
    <xf numFmtId="0" fontId="4" fillId="0" borderId="5" xfId="0" applyFont="1" applyBorder="1"/>
    <xf numFmtId="3" fontId="5" fillId="0" borderId="6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0" applyFont="1" applyAlignmen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5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9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zoomScaleNormal="100" workbookViewId="0">
      <pane ySplit="7" topLeftCell="A8" activePane="bottomLeft" state="frozen"/>
      <selection pane="bottomLeft" sqref="A1:M1"/>
    </sheetView>
  </sheetViews>
  <sheetFormatPr defaultRowHeight="12.75" x14ac:dyDescent="0.2"/>
  <cols>
    <col min="1" max="3" width="1.7109375" customWidth="1"/>
    <col min="4" max="4" width="49.85546875" customWidth="1"/>
    <col min="5" max="12" width="14.42578125" customWidth="1"/>
    <col min="13" max="13" width="14.42578125" style="2" customWidth="1"/>
    <col min="14" max="30" width="9.140625" style="15"/>
  </cols>
  <sheetData>
    <row r="1" spans="1:30" s="3" customFormat="1" ht="12.7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s="77" customFormat="1" ht="15" customHeight="1" x14ac:dyDescent="0.2">
      <c r="A2" s="99" t="s">
        <v>232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s="4" customFormat="1" ht="12.75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s="4" customFormat="1" ht="12.75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5" customFormat="1" ht="12" customHeight="1" x14ac:dyDescent="0.2">
      <c r="A5" s="104"/>
      <c r="B5" s="104"/>
      <c r="C5" s="104"/>
      <c r="D5" s="104"/>
      <c r="E5" s="7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8">
        <v>2021</v>
      </c>
      <c r="M5" s="22">
        <v>2022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s="10" customFormat="1" ht="12" customHeight="1" x14ac:dyDescent="0.2">
      <c r="A6" s="105"/>
      <c r="B6" s="105"/>
      <c r="C6" s="105"/>
      <c r="D6" s="105"/>
      <c r="E6" s="11"/>
      <c r="F6" s="75"/>
      <c r="G6" s="75"/>
      <c r="H6" s="75"/>
      <c r="I6" s="75"/>
      <c r="J6" s="75"/>
      <c r="K6" s="75"/>
      <c r="L6" s="75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0" customFormat="1" ht="12" customHeight="1" x14ac:dyDescent="0.2">
      <c r="A7" s="96"/>
      <c r="B7" s="96"/>
      <c r="C7" s="96"/>
      <c r="D7" s="96"/>
      <c r="E7" s="78"/>
      <c r="F7" s="78"/>
      <c r="G7" s="78"/>
      <c r="H7" s="78"/>
      <c r="I7" s="78"/>
      <c r="J7" s="78"/>
      <c r="K7" s="79"/>
      <c r="L7" s="80"/>
      <c r="M7" s="78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s="5" customFormat="1" ht="11.25" customHeight="1" x14ac:dyDescent="0.2">
      <c r="A8" s="95" t="s">
        <v>181</v>
      </c>
      <c r="B8" s="95"/>
      <c r="C8" s="95"/>
      <c r="D8" s="95"/>
      <c r="E8" s="29">
        <v>3551103.3188399998</v>
      </c>
      <c r="F8" s="29">
        <v>3577222.9568599998</v>
      </c>
      <c r="G8" s="29">
        <v>3621137.1451200005</v>
      </c>
      <c r="H8" s="29">
        <v>3634916.74034</v>
      </c>
      <c r="I8" s="29">
        <v>3678457.3563800002</v>
      </c>
      <c r="J8" s="29">
        <v>3764719.1729600001</v>
      </c>
      <c r="K8" s="29">
        <v>3947702.0943099996</v>
      </c>
      <c r="L8" s="29">
        <v>4218600.1001599999</v>
      </c>
      <c r="M8" s="30">
        <v>4219551.3543199999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s="5" customFormat="1" ht="11.25" customHeight="1" x14ac:dyDescent="0.2">
      <c r="A9" s="31"/>
      <c r="B9" s="94" t="s">
        <v>1</v>
      </c>
      <c r="C9" s="94"/>
      <c r="D9" s="94"/>
      <c r="E9" s="32">
        <v>990458.68859000003</v>
      </c>
      <c r="F9" s="32">
        <v>1000138.1064599999</v>
      </c>
      <c r="G9" s="32">
        <v>1001743.01691</v>
      </c>
      <c r="H9" s="32">
        <v>1005760.80073</v>
      </c>
      <c r="I9" s="32">
        <v>1021696.20481</v>
      </c>
      <c r="J9" s="32">
        <v>1048793.5663999999</v>
      </c>
      <c r="K9" s="32">
        <v>1075742.7950299999</v>
      </c>
      <c r="L9" s="32">
        <v>1108331.0766499999</v>
      </c>
      <c r="M9" s="30">
        <v>1139988.0565299999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s="25" customFormat="1" ht="11.25" customHeight="1" x14ac:dyDescent="0.2">
      <c r="A10" s="33"/>
      <c r="B10" s="34"/>
      <c r="C10" s="92" t="s">
        <v>128</v>
      </c>
      <c r="D10" s="92"/>
      <c r="E10" s="39">
        <v>20925.674940000001</v>
      </c>
      <c r="F10" s="39">
        <v>21614.320599999999</v>
      </c>
      <c r="G10" s="39">
        <v>21316.704949999999</v>
      </c>
      <c r="H10" s="39">
        <v>21242.730449999999</v>
      </c>
      <c r="I10" s="39">
        <v>21496.424849999999</v>
      </c>
      <c r="J10" s="39">
        <v>21724.417549999998</v>
      </c>
      <c r="K10" s="39">
        <v>21441.330129999998</v>
      </c>
      <c r="L10" s="39">
        <v>21903.717779999999</v>
      </c>
      <c r="M10" s="37">
        <v>22363.179049999999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1:30" s="10" customFormat="1" ht="11.25" customHeight="1" x14ac:dyDescent="0.2">
      <c r="A11" s="38"/>
      <c r="B11" s="38"/>
      <c r="C11" s="92" t="s">
        <v>129</v>
      </c>
      <c r="D11" s="92"/>
      <c r="E11" s="39">
        <v>451889.24745000002</v>
      </c>
      <c r="F11" s="39">
        <v>458108.71516999998</v>
      </c>
      <c r="G11" s="39">
        <v>456352.05768999999</v>
      </c>
      <c r="H11" s="39">
        <v>458691.51981999999</v>
      </c>
      <c r="I11" s="39">
        <v>464045.99716999999</v>
      </c>
      <c r="J11" s="39">
        <v>471604.49654000002</v>
      </c>
      <c r="K11" s="39">
        <v>485697.21983000002</v>
      </c>
      <c r="L11" s="39">
        <v>499748.30365999998</v>
      </c>
      <c r="M11" s="40">
        <v>508781.97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10" customFormat="1" ht="11.25" customHeight="1" x14ac:dyDescent="0.2">
      <c r="A12" s="38"/>
      <c r="B12" s="38"/>
      <c r="C12" s="92" t="s">
        <v>130</v>
      </c>
      <c r="D12" s="92"/>
      <c r="E12" s="39">
        <v>306553.43657000002</v>
      </c>
      <c r="F12" s="39">
        <v>307281.60794999998</v>
      </c>
      <c r="G12" s="39">
        <v>309607.27361999999</v>
      </c>
      <c r="H12" s="39">
        <v>313047.27257999999</v>
      </c>
      <c r="I12" s="39">
        <v>321374.60824999999</v>
      </c>
      <c r="J12" s="39">
        <v>330884.15746999998</v>
      </c>
      <c r="K12" s="39">
        <v>343892.59694999998</v>
      </c>
      <c r="L12" s="39">
        <v>358661.92644000001</v>
      </c>
      <c r="M12" s="40">
        <v>374603.00972999999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0" customFormat="1" ht="11.25" customHeight="1" x14ac:dyDescent="0.2">
      <c r="A13" s="38"/>
      <c r="B13" s="38"/>
      <c r="C13" s="92" t="s">
        <v>131</v>
      </c>
      <c r="D13" s="92"/>
      <c r="E13" s="39">
        <v>193626.85222</v>
      </c>
      <c r="F13" s="39">
        <v>195539.59693</v>
      </c>
      <c r="G13" s="39">
        <v>197105.41688</v>
      </c>
      <c r="H13" s="39">
        <v>196941.54418</v>
      </c>
      <c r="I13" s="39">
        <v>199182.30093</v>
      </c>
      <c r="J13" s="39">
        <v>210431.00474</v>
      </c>
      <c r="K13" s="39">
        <v>210369.84865</v>
      </c>
      <c r="L13" s="39">
        <v>215103.30650999999</v>
      </c>
      <c r="M13" s="40">
        <v>220652.99040000001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s="10" customFormat="1" ht="11.25" customHeight="1" x14ac:dyDescent="0.2">
      <c r="A14" s="38"/>
      <c r="B14" s="38"/>
      <c r="C14" s="92" t="s">
        <v>132</v>
      </c>
      <c r="D14" s="92"/>
      <c r="E14" s="39">
        <v>10162.0146</v>
      </c>
      <c r="F14" s="39">
        <v>9798.3040000000001</v>
      </c>
      <c r="G14" s="39">
        <v>9850.4470000000001</v>
      </c>
      <c r="H14" s="39">
        <v>9227.5949999999993</v>
      </c>
      <c r="I14" s="39">
        <v>8366.1749999999993</v>
      </c>
      <c r="J14" s="39">
        <v>7336.7421999999997</v>
      </c>
      <c r="K14" s="39">
        <v>6439.1875</v>
      </c>
      <c r="L14" s="39">
        <v>6090.8238000000001</v>
      </c>
      <c r="M14" s="40">
        <v>5944.0754999999999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s="10" customFormat="1" ht="11.25" customHeight="1" x14ac:dyDescent="0.2">
      <c r="A15" s="38"/>
      <c r="B15" s="41"/>
      <c r="C15" s="92" t="s">
        <v>10</v>
      </c>
      <c r="D15" s="92"/>
      <c r="E15" s="39">
        <v>7301.46281</v>
      </c>
      <c r="F15" s="39">
        <v>7795.5618100000002</v>
      </c>
      <c r="G15" s="39">
        <v>7511.1167699999996</v>
      </c>
      <c r="H15" s="39">
        <v>6610.1387000000004</v>
      </c>
      <c r="I15" s="39">
        <v>7230.6986100000004</v>
      </c>
      <c r="J15" s="39">
        <v>6812.7479000000003</v>
      </c>
      <c r="K15" s="39">
        <v>7902.6119699999999</v>
      </c>
      <c r="L15" s="39">
        <v>6822.9984599999998</v>
      </c>
      <c r="M15" s="40">
        <v>7642.8310199999996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5" customFormat="1" ht="11.25" customHeight="1" x14ac:dyDescent="0.2">
      <c r="A16" s="42"/>
      <c r="B16" s="94" t="s">
        <v>133</v>
      </c>
      <c r="C16" s="94"/>
      <c r="D16" s="94"/>
      <c r="E16" s="32">
        <v>278511.61605000001</v>
      </c>
      <c r="F16" s="32">
        <v>278554.52562000003</v>
      </c>
      <c r="G16" s="32">
        <v>301424.39029999997</v>
      </c>
      <c r="H16" s="32">
        <v>312789.45503999997</v>
      </c>
      <c r="I16" s="32">
        <v>295173.59002</v>
      </c>
      <c r="J16" s="32">
        <v>301723.93972000002</v>
      </c>
      <c r="K16" s="32">
        <v>297853.28116000001</v>
      </c>
      <c r="L16" s="32">
        <v>333505.86797999998</v>
      </c>
      <c r="M16" s="30">
        <v>349342.40441999998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s="10" customFormat="1" ht="11.25" customHeight="1" x14ac:dyDescent="0.2">
      <c r="A17" s="38"/>
      <c r="B17" s="44"/>
      <c r="C17" s="92" t="s">
        <v>134</v>
      </c>
      <c r="D17" s="92"/>
      <c r="E17" s="39">
        <v>34723.760240000003</v>
      </c>
      <c r="F17" s="39">
        <v>33365.096819999999</v>
      </c>
      <c r="G17" s="39">
        <v>34286.292289999998</v>
      </c>
      <c r="H17" s="39">
        <v>33799.675060000001</v>
      </c>
      <c r="I17" s="39">
        <v>34702.430699999997</v>
      </c>
      <c r="J17" s="39">
        <v>33673.664490000003</v>
      </c>
      <c r="K17" s="39">
        <v>31074.945950000001</v>
      </c>
      <c r="L17" s="39">
        <v>32417.517360000002</v>
      </c>
      <c r="M17" s="40">
        <v>33914.323839999997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s="25" customFormat="1" ht="11.25" customHeight="1" x14ac:dyDescent="0.2">
      <c r="A18" s="33"/>
      <c r="B18" s="33"/>
      <c r="C18" s="92" t="s">
        <v>135</v>
      </c>
      <c r="D18" s="92"/>
      <c r="E18" s="39">
        <v>13946.18982</v>
      </c>
      <c r="F18" s="39">
        <v>15889.462299999999</v>
      </c>
      <c r="G18" s="39">
        <v>13953.027679999999</v>
      </c>
      <c r="H18" s="39">
        <v>15275.0854</v>
      </c>
      <c r="I18" s="39">
        <v>14993.946239999999</v>
      </c>
      <c r="J18" s="39">
        <v>15798.36486</v>
      </c>
      <c r="K18" s="39">
        <v>17511.65625</v>
      </c>
      <c r="L18" s="39">
        <v>15511.97696</v>
      </c>
      <c r="M18" s="37">
        <v>15742.58502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 s="10" customFormat="1" ht="11.25" customHeight="1" x14ac:dyDescent="0.2">
      <c r="A19" s="38"/>
      <c r="B19" s="38"/>
      <c r="C19" s="92" t="s">
        <v>136</v>
      </c>
      <c r="D19" s="92"/>
      <c r="E19" s="39">
        <v>17041.596379999999</v>
      </c>
      <c r="F19" s="39">
        <v>17244.39934</v>
      </c>
      <c r="G19" s="39">
        <v>16329.14122</v>
      </c>
      <c r="H19" s="39">
        <v>16545.391060000002</v>
      </c>
      <c r="I19" s="39">
        <v>16597.430199999999</v>
      </c>
      <c r="J19" s="39">
        <v>17889.142950000001</v>
      </c>
      <c r="K19" s="39">
        <v>18020.061290000001</v>
      </c>
      <c r="L19" s="39">
        <v>17851.343440000001</v>
      </c>
      <c r="M19" s="40">
        <v>22936.98933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s="10" customFormat="1" ht="11.25" customHeight="1" x14ac:dyDescent="0.2">
      <c r="A20" s="38"/>
      <c r="B20" s="38"/>
      <c r="C20" s="92" t="s">
        <v>137</v>
      </c>
      <c r="D20" s="92"/>
      <c r="E20" s="39">
        <v>89110.830449999994</v>
      </c>
      <c r="F20" s="39">
        <v>91359.087230000005</v>
      </c>
      <c r="G20" s="39">
        <v>110068.64481</v>
      </c>
      <c r="H20" s="39">
        <v>99843.163639999999</v>
      </c>
      <c r="I20" s="39">
        <v>93080.604430000007</v>
      </c>
      <c r="J20" s="39">
        <v>90559.46905</v>
      </c>
      <c r="K20" s="39">
        <v>95241.843819999995</v>
      </c>
      <c r="L20" s="39">
        <v>107793.16192</v>
      </c>
      <c r="M20" s="40">
        <v>118332.95013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s="10" customFormat="1" ht="11.25" customHeight="1" x14ac:dyDescent="0.2">
      <c r="A21" s="38"/>
      <c r="B21" s="38"/>
      <c r="C21" s="92" t="s">
        <v>138</v>
      </c>
      <c r="D21" s="92"/>
      <c r="E21" s="39">
        <v>51551.911690000001</v>
      </c>
      <c r="F21" s="39">
        <v>46878.333180000001</v>
      </c>
      <c r="G21" s="39">
        <v>47170.730730000003</v>
      </c>
      <c r="H21" s="39">
        <v>47004.640720000003</v>
      </c>
      <c r="I21" s="39">
        <v>52588.044269999999</v>
      </c>
      <c r="J21" s="39">
        <v>52496.14488</v>
      </c>
      <c r="K21" s="39">
        <v>52038.264349999998</v>
      </c>
      <c r="L21" s="39">
        <v>62536.889869999999</v>
      </c>
      <c r="M21" s="40">
        <v>57272.526129999998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s="25" customFormat="1" ht="11.25" customHeight="1" x14ac:dyDescent="0.2">
      <c r="A22" s="33"/>
      <c r="B22" s="33"/>
      <c r="C22" s="92" t="s">
        <v>139</v>
      </c>
      <c r="D22" s="92"/>
      <c r="E22" s="39">
        <v>20704.750840000001</v>
      </c>
      <c r="F22" s="39">
        <v>22190.194749999999</v>
      </c>
      <c r="G22" s="39">
        <v>21088.168399999999</v>
      </c>
      <c r="H22" s="39">
        <v>21539.114880000001</v>
      </c>
      <c r="I22" s="39">
        <v>24742.817230000001</v>
      </c>
      <c r="J22" s="39">
        <v>23581.103620000002</v>
      </c>
      <c r="K22" s="39">
        <v>27033.20606</v>
      </c>
      <c r="L22" s="39">
        <v>28363.807479999999</v>
      </c>
      <c r="M22" s="37">
        <v>30348.338110000001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30" s="10" customFormat="1" ht="11.25" customHeight="1" x14ac:dyDescent="0.2">
      <c r="A23" s="38"/>
      <c r="B23" s="38"/>
      <c r="C23" s="92" t="s">
        <v>140</v>
      </c>
      <c r="D23" s="92"/>
      <c r="E23" s="39">
        <v>14032.81331</v>
      </c>
      <c r="F23" s="39">
        <v>14088.176149999999</v>
      </c>
      <c r="G23" s="39">
        <v>14407.965200000001</v>
      </c>
      <c r="H23" s="39">
        <v>14654.949479999999</v>
      </c>
      <c r="I23" s="39">
        <v>14888.448109999999</v>
      </c>
      <c r="J23" s="39">
        <v>15067.118829999999</v>
      </c>
      <c r="K23" s="39">
        <v>15220.65344</v>
      </c>
      <c r="L23" s="39">
        <v>15428.54227</v>
      </c>
      <c r="M23" s="40">
        <v>16740.709869999999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s="10" customFormat="1" ht="11.25" customHeight="1" x14ac:dyDescent="0.2">
      <c r="A24" s="38"/>
      <c r="B24" s="38"/>
      <c r="C24" s="92" t="s">
        <v>141</v>
      </c>
      <c r="D24" s="92"/>
      <c r="E24" s="39">
        <v>8033.6283100000001</v>
      </c>
      <c r="F24" s="39">
        <v>7857.9875199999997</v>
      </c>
      <c r="G24" s="39">
        <v>7809.7868399999998</v>
      </c>
      <c r="H24" s="39">
        <v>7678.7382100000004</v>
      </c>
      <c r="I24" s="39">
        <v>7790.991</v>
      </c>
      <c r="J24" s="39">
        <v>8875.9231099999997</v>
      </c>
      <c r="K24" s="39">
        <v>5698.2208300000002</v>
      </c>
      <c r="L24" s="39">
        <v>6501.25389</v>
      </c>
      <c r="M24" s="40">
        <v>7887.9322400000001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s="10" customFormat="1" ht="11.25" customHeight="1" x14ac:dyDescent="0.2">
      <c r="A25" s="38"/>
      <c r="B25" s="38"/>
      <c r="C25" s="92" t="s">
        <v>142</v>
      </c>
      <c r="D25" s="92"/>
      <c r="E25" s="39">
        <v>19098.41173</v>
      </c>
      <c r="F25" s="39">
        <v>20210.33109</v>
      </c>
      <c r="G25" s="39">
        <v>25287.231309999999</v>
      </c>
      <c r="H25" s="39">
        <v>26930.403439999998</v>
      </c>
      <c r="I25" s="39">
        <v>25370.5488</v>
      </c>
      <c r="J25" s="39">
        <v>30386.531579999999</v>
      </c>
      <c r="K25" s="39">
        <v>21247.836340000002</v>
      </c>
      <c r="L25" s="39">
        <v>32304.432919999999</v>
      </c>
      <c r="M25" s="40">
        <v>29315.775949999999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s="10" customFormat="1" ht="11.25" customHeight="1" x14ac:dyDescent="0.2">
      <c r="A26" s="38"/>
      <c r="B26" s="41"/>
      <c r="C26" s="92" t="s">
        <v>143</v>
      </c>
      <c r="D26" s="92"/>
      <c r="E26" s="39">
        <v>10267.72328</v>
      </c>
      <c r="F26" s="39">
        <v>9471.4572399999997</v>
      </c>
      <c r="G26" s="39">
        <v>11023.401819999999</v>
      </c>
      <c r="H26" s="39">
        <v>29518.293150000001</v>
      </c>
      <c r="I26" s="39">
        <v>10418.329040000001</v>
      </c>
      <c r="J26" s="39">
        <v>13396.476350000001</v>
      </c>
      <c r="K26" s="39">
        <v>14766.59283</v>
      </c>
      <c r="L26" s="39">
        <v>14796.941870000001</v>
      </c>
      <c r="M26" s="40">
        <v>16850.273799999999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5" customFormat="1" ht="11.25" customHeight="1" x14ac:dyDescent="0.2">
      <c r="A27" s="42"/>
      <c r="B27" s="94" t="s">
        <v>144</v>
      </c>
      <c r="C27" s="94"/>
      <c r="D27" s="94"/>
      <c r="E27" s="32">
        <v>93689.757060000004</v>
      </c>
      <c r="F27" s="32">
        <v>94831.46686</v>
      </c>
      <c r="G27" s="32">
        <v>93323.962419999996</v>
      </c>
      <c r="H27" s="32">
        <v>103127.47981</v>
      </c>
      <c r="I27" s="32">
        <v>101952.40511000001</v>
      </c>
      <c r="J27" s="32">
        <v>101893.35231</v>
      </c>
      <c r="K27" s="32">
        <v>93262.444770000002</v>
      </c>
      <c r="L27" s="32">
        <v>98172.444579999996</v>
      </c>
      <c r="M27" s="30">
        <v>116987.07236999999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s="10" customFormat="1" ht="11.25" customHeight="1" x14ac:dyDescent="0.2">
      <c r="A28" s="38"/>
      <c r="B28" s="44"/>
      <c r="C28" s="92" t="s">
        <v>144</v>
      </c>
      <c r="D28" s="92"/>
      <c r="E28" s="39">
        <v>93689.757060000004</v>
      </c>
      <c r="F28" s="39">
        <v>94831.46686</v>
      </c>
      <c r="G28" s="39">
        <v>93323.962419999996</v>
      </c>
      <c r="H28" s="39">
        <v>103127.47981</v>
      </c>
      <c r="I28" s="39">
        <v>101952.40511000001</v>
      </c>
      <c r="J28" s="39">
        <v>101893.35231</v>
      </c>
      <c r="K28" s="39">
        <v>93262.444770000002</v>
      </c>
      <c r="L28" s="39">
        <v>98172.444579999996</v>
      </c>
      <c r="M28" s="40">
        <v>116987.07236999999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5" customFormat="1" ht="11.25" customHeight="1" x14ac:dyDescent="0.2">
      <c r="A29" s="42"/>
      <c r="B29" s="94" t="s">
        <v>145</v>
      </c>
      <c r="C29" s="94"/>
      <c r="D29" s="94"/>
      <c r="E29" s="32">
        <v>42560.773719999997</v>
      </c>
      <c r="F29" s="32">
        <v>41148.066319999998</v>
      </c>
      <c r="G29" s="32">
        <v>38417.303800000002</v>
      </c>
      <c r="H29" s="32">
        <v>29765.342240000002</v>
      </c>
      <c r="I29" s="32">
        <v>24814.780870000002</v>
      </c>
      <c r="J29" s="32">
        <v>25717.359560000001</v>
      </c>
      <c r="K29" s="32">
        <v>25799.76658</v>
      </c>
      <c r="L29" s="32">
        <v>24448.493350000001</v>
      </c>
      <c r="M29" s="30">
        <v>27044.40365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s="10" customFormat="1" ht="11.25" customHeight="1" x14ac:dyDescent="0.2">
      <c r="A30" s="38"/>
      <c r="B30" s="44"/>
      <c r="C30" s="92" t="s">
        <v>146</v>
      </c>
      <c r="D30" s="92"/>
      <c r="E30" s="39">
        <v>35279.159460000003</v>
      </c>
      <c r="F30" s="39">
        <v>34948.496299999999</v>
      </c>
      <c r="G30" s="39">
        <v>32565.910899999999</v>
      </c>
      <c r="H30" s="39">
        <v>23846.239119999998</v>
      </c>
      <c r="I30" s="39">
        <v>22964.1165</v>
      </c>
      <c r="J30" s="39">
        <v>21869.84389</v>
      </c>
      <c r="K30" s="39">
        <v>21185.058959999998</v>
      </c>
      <c r="L30" s="39">
        <v>20072.354139999999</v>
      </c>
      <c r="M30" s="40">
        <v>21760.82905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10" customFormat="1" ht="11.25" customHeight="1" x14ac:dyDescent="0.2">
      <c r="A31" s="38"/>
      <c r="B31" s="38"/>
      <c r="C31" s="92" t="s">
        <v>147</v>
      </c>
      <c r="D31" s="92"/>
      <c r="E31" s="39">
        <v>34.348660000000002</v>
      </c>
      <c r="F31" s="39">
        <v>275.27609000000001</v>
      </c>
      <c r="G31" s="39">
        <v>1.2723</v>
      </c>
      <c r="H31" s="39">
        <v>1.4756899999999999</v>
      </c>
      <c r="I31" s="39">
        <v>98.36054</v>
      </c>
      <c r="J31" s="39">
        <v>247.11846</v>
      </c>
      <c r="K31" s="39">
        <v>230.90805</v>
      </c>
      <c r="L31" s="39">
        <v>506.86342000000002</v>
      </c>
      <c r="M31" s="40">
        <v>1270.00299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10" customFormat="1" ht="11.25" customHeight="1" x14ac:dyDescent="0.2">
      <c r="A32" s="38"/>
      <c r="B32" s="38"/>
      <c r="C32" s="92" t="s">
        <v>235</v>
      </c>
      <c r="D32" s="92"/>
      <c r="E32" s="39">
        <v>2147.6813400000001</v>
      </c>
      <c r="F32" s="39">
        <v>2043.91632</v>
      </c>
      <c r="G32" s="39">
        <v>2179.3988800000002</v>
      </c>
      <c r="H32" s="39">
        <v>2109.8030699999999</v>
      </c>
      <c r="I32" s="39">
        <v>1923.32458</v>
      </c>
      <c r="J32" s="39">
        <v>1915.0403799999999</v>
      </c>
      <c r="K32" s="39">
        <v>1954.0549900000001</v>
      </c>
      <c r="L32" s="39">
        <v>2116.4225099999999</v>
      </c>
      <c r="M32" s="40">
        <v>1896.8176699999999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10" customFormat="1" ht="11.25" customHeight="1" x14ac:dyDescent="0.2">
      <c r="A33" s="38"/>
      <c r="B33" s="38"/>
      <c r="C33" s="92" t="s">
        <v>236</v>
      </c>
      <c r="D33" s="92"/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767.43259999999998</v>
      </c>
      <c r="L33" s="39">
        <v>87.698490000000007</v>
      </c>
      <c r="M33" s="40">
        <v>559.74832000000004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10" customFormat="1" ht="11.25" customHeight="1" x14ac:dyDescent="0.2">
      <c r="A34" s="38"/>
      <c r="B34" s="41"/>
      <c r="C34" s="92" t="s">
        <v>148</v>
      </c>
      <c r="D34" s="92"/>
      <c r="E34" s="39">
        <v>5099.5842599999996</v>
      </c>
      <c r="F34" s="39">
        <v>3880.37761</v>
      </c>
      <c r="G34" s="39">
        <v>3670.72172</v>
      </c>
      <c r="H34" s="39">
        <v>3807.8243600000001</v>
      </c>
      <c r="I34" s="39">
        <v>-171.02074999999999</v>
      </c>
      <c r="J34" s="39">
        <v>1685.3568299999999</v>
      </c>
      <c r="K34" s="39">
        <v>1662.3119799999999</v>
      </c>
      <c r="L34" s="39">
        <v>1665.15479</v>
      </c>
      <c r="M34" s="40">
        <v>1557.0056199999999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5" customFormat="1" ht="11.25" customHeight="1" x14ac:dyDescent="0.2">
      <c r="A35" s="42"/>
      <c r="B35" s="94" t="s">
        <v>149</v>
      </c>
      <c r="C35" s="94"/>
      <c r="D35" s="94"/>
      <c r="E35" s="32">
        <v>31378.21658</v>
      </c>
      <c r="F35" s="32">
        <v>22272.317029999998</v>
      </c>
      <c r="G35" s="32">
        <v>27425.524119999998</v>
      </c>
      <c r="H35" s="32">
        <v>20844.3262</v>
      </c>
      <c r="I35" s="32">
        <v>18540.287090000002</v>
      </c>
      <c r="J35" s="32">
        <v>19401.998100000001</v>
      </c>
      <c r="K35" s="32">
        <v>25979.1721</v>
      </c>
      <c r="L35" s="32">
        <v>31866.031269999999</v>
      </c>
      <c r="M35" s="30">
        <v>31006.188170000001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10" customFormat="1" ht="11.25" customHeight="1" x14ac:dyDescent="0.2">
      <c r="A36" s="38"/>
      <c r="B36" s="44"/>
      <c r="C36" s="92" t="s">
        <v>150</v>
      </c>
      <c r="D36" s="92"/>
      <c r="E36" s="39">
        <v>31378.21658</v>
      </c>
      <c r="F36" s="39">
        <v>22272.317029999998</v>
      </c>
      <c r="G36" s="39">
        <v>27425.524119999998</v>
      </c>
      <c r="H36" s="39">
        <v>20844.3262</v>
      </c>
      <c r="I36" s="39">
        <v>18540.287090000002</v>
      </c>
      <c r="J36" s="39">
        <v>19401.998100000001</v>
      </c>
      <c r="K36" s="39">
        <v>25979.1721</v>
      </c>
      <c r="L36" s="39">
        <v>31866.031269999999</v>
      </c>
      <c r="M36" s="40">
        <v>31006.188170000001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5" customFormat="1" ht="11.25" customHeight="1" x14ac:dyDescent="0.2">
      <c r="A37" s="42"/>
      <c r="B37" s="94" t="s">
        <v>151</v>
      </c>
      <c r="C37" s="94"/>
      <c r="D37" s="94"/>
      <c r="E37" s="32">
        <v>1799459.1465</v>
      </c>
      <c r="F37" s="32">
        <v>1806293.5232600002</v>
      </c>
      <c r="G37" s="32">
        <v>1831214.2000800001</v>
      </c>
      <c r="H37" s="32">
        <v>1824833.4604499999</v>
      </c>
      <c r="I37" s="32">
        <v>1862540.3403800002</v>
      </c>
      <c r="J37" s="32">
        <v>1914939.01874</v>
      </c>
      <c r="K37" s="32">
        <v>2077891.8315900001</v>
      </c>
      <c r="L37" s="32">
        <v>2265070.1821400002</v>
      </c>
      <c r="M37" s="30">
        <v>2174714.5293299998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10" customFormat="1" ht="11.25" customHeight="1" x14ac:dyDescent="0.2">
      <c r="A38" s="38"/>
      <c r="B38" s="44"/>
      <c r="C38" s="92" t="s">
        <v>152</v>
      </c>
      <c r="D38" s="92"/>
      <c r="E38" s="39">
        <v>37871.03757</v>
      </c>
      <c r="F38" s="39">
        <v>34737.927109999997</v>
      </c>
      <c r="G38" s="39">
        <v>40216.815800000004</v>
      </c>
      <c r="H38" s="39">
        <v>6128.5857500000002</v>
      </c>
      <c r="I38" s="39">
        <v>1798.68858</v>
      </c>
      <c r="J38" s="39">
        <v>2220.7584700000002</v>
      </c>
      <c r="K38" s="39">
        <v>1483.6330400000002</v>
      </c>
      <c r="L38" s="39">
        <v>1619.04045</v>
      </c>
      <c r="M38" s="40">
        <v>4450.75972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10" customFormat="1" ht="11.25" customHeight="1" x14ac:dyDescent="0.2">
      <c r="A39" s="38"/>
      <c r="B39" s="38"/>
      <c r="C39" s="60"/>
      <c r="D39" s="61" t="s">
        <v>153</v>
      </c>
      <c r="E39" s="39">
        <v>543.84465</v>
      </c>
      <c r="F39" s="39">
        <v>518.14215000000002</v>
      </c>
      <c r="G39" s="39">
        <v>493.52564999999998</v>
      </c>
      <c r="H39" s="39">
        <v>454.48649999999998</v>
      </c>
      <c r="I39" s="39">
        <v>437.68862000000001</v>
      </c>
      <c r="J39" s="39">
        <v>437.02587999999997</v>
      </c>
      <c r="K39" s="39">
        <v>435.43490000000003</v>
      </c>
      <c r="L39" s="39">
        <v>374.22250000000003</v>
      </c>
      <c r="M39" s="40">
        <v>220.56186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10" customFormat="1" ht="11.25" customHeight="1" x14ac:dyDescent="0.2">
      <c r="A40" s="38"/>
      <c r="B40" s="38"/>
      <c r="C40" s="45"/>
      <c r="D40" s="35" t="s">
        <v>154</v>
      </c>
      <c r="E40" s="39">
        <v>36431.249669999997</v>
      </c>
      <c r="F40" s="39">
        <v>33375.962209999998</v>
      </c>
      <c r="G40" s="39">
        <v>38658.209699999999</v>
      </c>
      <c r="H40" s="39">
        <v>4710.1175499999999</v>
      </c>
      <c r="I40" s="39">
        <v>393.61615999999998</v>
      </c>
      <c r="J40" s="39">
        <v>669.47679000000005</v>
      </c>
      <c r="K40" s="39">
        <v>158.34644</v>
      </c>
      <c r="L40" s="39">
        <v>406.15120000000002</v>
      </c>
      <c r="M40" s="40">
        <v>2980.8270600000001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10" customFormat="1" ht="11.25" customHeight="1" x14ac:dyDescent="0.2">
      <c r="A41" s="38"/>
      <c r="B41" s="38"/>
      <c r="C41" s="62"/>
      <c r="D41" s="61" t="s">
        <v>155</v>
      </c>
      <c r="E41" s="39">
        <v>895.94325000000003</v>
      </c>
      <c r="F41" s="39">
        <v>843.82275000000004</v>
      </c>
      <c r="G41" s="39">
        <v>1065.0804499999999</v>
      </c>
      <c r="H41" s="39">
        <v>963.98170000000005</v>
      </c>
      <c r="I41" s="39">
        <v>967.38379999999995</v>
      </c>
      <c r="J41" s="39">
        <v>1114.2557999999999</v>
      </c>
      <c r="K41" s="39">
        <v>889.85170000000005</v>
      </c>
      <c r="L41" s="39">
        <v>838.66674999999998</v>
      </c>
      <c r="M41" s="40">
        <v>1249.3707999999999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5" customFormat="1" ht="11.25" customHeight="1" x14ac:dyDescent="0.2">
      <c r="A42" s="42"/>
      <c r="B42" s="63"/>
      <c r="C42" s="92" t="s">
        <v>36</v>
      </c>
      <c r="D42" s="92"/>
      <c r="E42" s="39">
        <v>6996.0216499999997</v>
      </c>
      <c r="F42" s="39">
        <v>6398.90625</v>
      </c>
      <c r="G42" s="39">
        <v>5931.9667300000001</v>
      </c>
      <c r="H42" s="39">
        <v>5951.1686</v>
      </c>
      <c r="I42" s="39">
        <v>5856.2098699999997</v>
      </c>
      <c r="J42" s="39">
        <v>7372.2158499999996</v>
      </c>
      <c r="K42" s="39">
        <v>5237.7352600000004</v>
      </c>
      <c r="L42" s="39">
        <v>4925.5619500000003</v>
      </c>
      <c r="M42" s="40">
        <v>7328.8343500000001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10" customFormat="1" ht="11.25" customHeight="1" x14ac:dyDescent="0.2">
      <c r="A43" s="45"/>
      <c r="B43" s="45"/>
      <c r="C43" s="92" t="s">
        <v>156</v>
      </c>
      <c r="D43" s="92"/>
      <c r="E43" s="39">
        <v>72190.91</v>
      </c>
      <c r="F43" s="39">
        <v>67786.148000000001</v>
      </c>
      <c r="G43" s="39">
        <v>65488.31</v>
      </c>
      <c r="H43" s="39">
        <v>67454.667000000001</v>
      </c>
      <c r="I43" s="39">
        <v>71555.226999999999</v>
      </c>
      <c r="J43" s="39">
        <v>75059.899999999994</v>
      </c>
      <c r="K43" s="39">
        <v>76178.462</v>
      </c>
      <c r="L43" s="39">
        <v>75711.967999999993</v>
      </c>
      <c r="M43" s="40">
        <v>78942.741999999998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s="10" customFormat="1" ht="11.25" customHeight="1" x14ac:dyDescent="0.2">
      <c r="A44" s="45"/>
      <c r="B44" s="45"/>
      <c r="C44" s="60"/>
      <c r="D44" s="61" t="s">
        <v>157</v>
      </c>
      <c r="E44" s="39">
        <v>9590.9490000000005</v>
      </c>
      <c r="F44" s="39">
        <v>5092.3819999999996</v>
      </c>
      <c r="G44" s="39">
        <v>4837.7629999999999</v>
      </c>
      <c r="H44" s="39">
        <v>4583.1440000000002</v>
      </c>
      <c r="I44" s="39">
        <v>4214.6660000000002</v>
      </c>
      <c r="J44" s="39">
        <v>3966.7449999999999</v>
      </c>
      <c r="K44" s="39">
        <v>3718.8229999999999</v>
      </c>
      <c r="L44" s="39">
        <v>3470.9009999999998</v>
      </c>
      <c r="M44" s="40">
        <v>3222.98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s="10" customFormat="1" ht="11.25" customHeight="1" x14ac:dyDescent="0.2">
      <c r="A45" s="45"/>
      <c r="B45" s="45"/>
      <c r="C45" s="62"/>
      <c r="D45" s="61" t="s">
        <v>158</v>
      </c>
      <c r="E45" s="39">
        <v>62599.961000000003</v>
      </c>
      <c r="F45" s="39">
        <v>62693.766000000003</v>
      </c>
      <c r="G45" s="39">
        <v>60650.546999999999</v>
      </c>
      <c r="H45" s="39">
        <v>62871.523000000001</v>
      </c>
      <c r="I45" s="39">
        <v>67340.561000000002</v>
      </c>
      <c r="J45" s="39">
        <v>71093.154999999999</v>
      </c>
      <c r="K45" s="39">
        <v>72459.638999999996</v>
      </c>
      <c r="L45" s="39">
        <v>72241.066999999995</v>
      </c>
      <c r="M45" s="40">
        <v>75719.762000000002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s="10" customFormat="1" ht="11.25" customHeight="1" x14ac:dyDescent="0.2">
      <c r="A46" s="45"/>
      <c r="B46" s="45"/>
      <c r="C46" s="92" t="s">
        <v>159</v>
      </c>
      <c r="D46" s="92"/>
      <c r="E46" s="73">
        <v>1608756.7231399999</v>
      </c>
      <c r="F46" s="73">
        <v>1618708.2219100001</v>
      </c>
      <c r="G46" s="73">
        <v>1638404.0321</v>
      </c>
      <c r="H46" s="73">
        <v>1660770.4101499999</v>
      </c>
      <c r="I46" s="73">
        <v>1686504.2158000001</v>
      </c>
      <c r="J46" s="73">
        <v>1730488.0692400001</v>
      </c>
      <c r="K46" s="73">
        <v>1891401.1356000002</v>
      </c>
      <c r="L46" s="73">
        <v>2055449.5258299999</v>
      </c>
      <c r="M46" s="40">
        <v>1963641.39329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s="10" customFormat="1" ht="11.25" customHeight="1" x14ac:dyDescent="0.2">
      <c r="A47" s="45"/>
      <c r="B47" s="45"/>
      <c r="C47" s="45"/>
      <c r="D47" s="47" t="s">
        <v>41</v>
      </c>
      <c r="E47" s="74">
        <v>9462.1952999999994</v>
      </c>
      <c r="F47" s="74">
        <v>9277.7836000000007</v>
      </c>
      <c r="G47" s="74">
        <v>8630.4291499999999</v>
      </c>
      <c r="H47" s="74">
        <v>8413.2414499999995</v>
      </c>
      <c r="I47" s="74">
        <v>8797.5932499999999</v>
      </c>
      <c r="J47" s="74">
        <v>9255.8005499999999</v>
      </c>
      <c r="K47" s="74">
        <v>9472.4681999999993</v>
      </c>
      <c r="L47" s="74">
        <v>8652.4614999999994</v>
      </c>
      <c r="M47" s="40">
        <v>8139.1815999999999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s="10" customFormat="1" ht="11.25" customHeight="1" x14ac:dyDescent="0.2">
      <c r="A48" s="45"/>
      <c r="B48" s="45"/>
      <c r="C48" s="45"/>
      <c r="D48" s="35" t="s">
        <v>160</v>
      </c>
      <c r="E48" s="73">
        <v>58082.765019999999</v>
      </c>
      <c r="F48" s="73">
        <v>60520.110370000002</v>
      </c>
      <c r="G48" s="73">
        <v>62198.90855</v>
      </c>
      <c r="H48" s="73">
        <v>64044.434329999996</v>
      </c>
      <c r="I48" s="73">
        <v>66735.098819999999</v>
      </c>
      <c r="J48" s="73">
        <v>67480.837910000002</v>
      </c>
      <c r="K48" s="73">
        <v>68805.149820000006</v>
      </c>
      <c r="L48" s="73">
        <v>71342.967680000002</v>
      </c>
      <c r="M48" s="40">
        <v>70303.516409999997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s="10" customFormat="1" ht="11.25" customHeight="1" x14ac:dyDescent="0.2">
      <c r="A49" s="45"/>
      <c r="B49" s="45"/>
      <c r="C49" s="45"/>
      <c r="D49" s="35" t="s">
        <v>43</v>
      </c>
      <c r="E49" s="73">
        <v>104760.59093999999</v>
      </c>
      <c r="F49" s="73">
        <v>99546.54939</v>
      </c>
      <c r="G49" s="73">
        <v>86383.311669999996</v>
      </c>
      <c r="H49" s="73">
        <v>92695.493830000007</v>
      </c>
      <c r="I49" s="73">
        <v>92191.299549999996</v>
      </c>
      <c r="J49" s="73">
        <v>91494.674190000005</v>
      </c>
      <c r="K49" s="73">
        <v>112783.15671</v>
      </c>
      <c r="L49" s="73">
        <v>119067.64051</v>
      </c>
      <c r="M49" s="40">
        <v>118474.19971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s="10" customFormat="1" ht="11.25" customHeight="1" x14ac:dyDescent="0.2">
      <c r="A50" s="45"/>
      <c r="B50" s="45"/>
      <c r="C50" s="45"/>
      <c r="D50" s="35" t="s">
        <v>161</v>
      </c>
      <c r="E50" s="73">
        <v>424.10879999999997</v>
      </c>
      <c r="F50" s="73">
        <v>405.15910000000002</v>
      </c>
      <c r="G50" s="73">
        <v>330.5378</v>
      </c>
      <c r="H50" s="73">
        <v>343.50130000000001</v>
      </c>
      <c r="I50" s="73">
        <v>325.79739999999998</v>
      </c>
      <c r="J50" s="73">
        <v>323.20710000000003</v>
      </c>
      <c r="K50" s="73">
        <v>343.69830000000002</v>
      </c>
      <c r="L50" s="73">
        <v>322.34440000000001</v>
      </c>
      <c r="M50" s="40">
        <v>323.98489999999998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s="10" customFormat="1" ht="11.25" customHeight="1" x14ac:dyDescent="0.2">
      <c r="A51" s="45"/>
      <c r="B51" s="45"/>
      <c r="C51" s="45"/>
      <c r="D51" s="35" t="s">
        <v>162</v>
      </c>
      <c r="E51" s="73">
        <v>495010.75151999999</v>
      </c>
      <c r="F51" s="73">
        <v>511006.94287000003</v>
      </c>
      <c r="G51" s="73">
        <v>524116.51379</v>
      </c>
      <c r="H51" s="73">
        <v>539765.25766</v>
      </c>
      <c r="I51" s="73">
        <v>546281.13162</v>
      </c>
      <c r="J51" s="73">
        <v>558799.12150999997</v>
      </c>
      <c r="K51" s="73">
        <v>641609.42324000003</v>
      </c>
      <c r="L51" s="73">
        <v>625100.60172000004</v>
      </c>
      <c r="M51" s="40">
        <v>636084.76818000001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s="10" customFormat="1" ht="11.25" customHeight="1" x14ac:dyDescent="0.2">
      <c r="A52" s="45"/>
      <c r="B52" s="45"/>
      <c r="C52" s="63"/>
      <c r="D52" s="61" t="s">
        <v>163</v>
      </c>
      <c r="E52" s="73">
        <v>30344.651580000002</v>
      </c>
      <c r="F52" s="73">
        <v>27303.707709999999</v>
      </c>
      <c r="G52" s="73">
        <v>25466.74553</v>
      </c>
      <c r="H52" s="73">
        <v>21384.144339999999</v>
      </c>
      <c r="I52" s="73">
        <v>24670.183929999999</v>
      </c>
      <c r="J52" s="73">
        <v>23634.884050000001</v>
      </c>
      <c r="K52" s="73">
        <v>44968.623460000003</v>
      </c>
      <c r="L52" s="73">
        <v>162398.37241000001</v>
      </c>
      <c r="M52" s="40">
        <v>32472.600429999999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s="10" customFormat="1" ht="11.25" customHeight="1" x14ac:dyDescent="0.2">
      <c r="A53" s="45"/>
      <c r="B53" s="45"/>
      <c r="C53" s="63"/>
      <c r="D53" s="61" t="s">
        <v>164</v>
      </c>
      <c r="E53" s="73">
        <v>211113.23108999999</v>
      </c>
      <c r="F53" s="73">
        <v>218627</v>
      </c>
      <c r="G53" s="73">
        <v>221801.37117999999</v>
      </c>
      <c r="H53" s="73">
        <v>226984.06226000001</v>
      </c>
      <c r="I53" s="73">
        <v>231907.35797000001</v>
      </c>
      <c r="J53" s="73">
        <v>247076.82691999999</v>
      </c>
      <c r="K53" s="73">
        <v>263255.36826999998</v>
      </c>
      <c r="L53" s="73">
        <v>274457.75484000001</v>
      </c>
      <c r="M53" s="40">
        <v>292544.61287999997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s="10" customFormat="1" ht="11.25" customHeight="1" x14ac:dyDescent="0.2">
      <c r="A54" s="45"/>
      <c r="B54" s="45"/>
      <c r="C54" s="63"/>
      <c r="D54" s="61" t="s">
        <v>165</v>
      </c>
      <c r="E54" s="73">
        <v>699301.77364000003</v>
      </c>
      <c r="F54" s="73">
        <v>691734.16512000002</v>
      </c>
      <c r="G54" s="73">
        <v>709185.21443000005</v>
      </c>
      <c r="H54" s="73">
        <v>706879.27497999999</v>
      </c>
      <c r="I54" s="73">
        <v>715305.95325999998</v>
      </c>
      <c r="J54" s="73">
        <v>732171.71701000002</v>
      </c>
      <c r="K54" s="73">
        <v>749913.2476</v>
      </c>
      <c r="L54" s="73">
        <v>793857.38277000003</v>
      </c>
      <c r="M54" s="40">
        <v>804698.52917999995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s="10" customFormat="1" ht="11.25" customHeight="1" x14ac:dyDescent="0.2">
      <c r="A55" s="45"/>
      <c r="B55" s="45"/>
      <c r="C55" s="62"/>
      <c r="D55" s="61" t="s">
        <v>166</v>
      </c>
      <c r="E55" s="73">
        <v>256.65525000000002</v>
      </c>
      <c r="F55" s="73">
        <v>286.18664999999999</v>
      </c>
      <c r="G55" s="73">
        <v>291</v>
      </c>
      <c r="H55" s="73">
        <v>261</v>
      </c>
      <c r="I55" s="73">
        <v>289.8</v>
      </c>
      <c r="J55" s="73">
        <v>251</v>
      </c>
      <c r="K55" s="73">
        <v>250</v>
      </c>
      <c r="L55" s="73">
        <v>250</v>
      </c>
      <c r="M55" s="40">
        <v>600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s="5" customFormat="1" ht="11.25" customHeight="1" x14ac:dyDescent="0.2">
      <c r="A56" s="42"/>
      <c r="B56" s="50"/>
      <c r="C56" s="92" t="s">
        <v>167</v>
      </c>
      <c r="D56" s="92"/>
      <c r="E56" s="73">
        <v>0</v>
      </c>
      <c r="F56" s="73">
        <v>-35.1</v>
      </c>
      <c r="G56" s="73">
        <v>255.30520000000001</v>
      </c>
      <c r="H56" s="73">
        <v>6.65</v>
      </c>
      <c r="I56" s="73">
        <v>261.22000000000003</v>
      </c>
      <c r="J56" s="73">
        <v>275.15280000000001</v>
      </c>
      <c r="K56" s="73">
        <v>-95.129019999999997</v>
      </c>
      <c r="L56" s="73">
        <v>178.40185</v>
      </c>
      <c r="M56" s="40">
        <v>297.38375000000002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s="25" customFormat="1" ht="11.25" customHeight="1" x14ac:dyDescent="0.2">
      <c r="A57" s="48"/>
      <c r="B57" s="48"/>
      <c r="C57" s="61" t="s">
        <v>168</v>
      </c>
      <c r="D57" s="71"/>
      <c r="E57" s="73">
        <v>0.29899999999999999</v>
      </c>
      <c r="F57" s="73">
        <v>524.70000000000005</v>
      </c>
      <c r="G57" s="73">
        <v>515.16250000000002</v>
      </c>
      <c r="H57" s="73">
        <v>1123.9549999999999</v>
      </c>
      <c r="I57" s="73">
        <v>1.7789600000000001</v>
      </c>
      <c r="J57" s="73">
        <v>3.6</v>
      </c>
      <c r="K57" s="73">
        <v>28.879000000000001</v>
      </c>
      <c r="L57" s="73">
        <v>18045</v>
      </c>
      <c r="M57" s="37">
        <v>2.16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</row>
    <row r="58" spans="1:30" s="10" customFormat="1" ht="11.25" customHeight="1" x14ac:dyDescent="0.2">
      <c r="A58" s="45"/>
      <c r="B58" s="45"/>
      <c r="C58" s="62" t="s">
        <v>169</v>
      </c>
      <c r="D58" s="72"/>
      <c r="E58" s="73">
        <v>72353.162890000007</v>
      </c>
      <c r="F58" s="73">
        <v>76218.519190000006</v>
      </c>
      <c r="G58" s="73">
        <v>79223.56035</v>
      </c>
      <c r="H58" s="73">
        <v>81222.544299999994</v>
      </c>
      <c r="I58" s="73">
        <v>80902.565319999994</v>
      </c>
      <c r="J58" s="73">
        <v>90808.776580000005</v>
      </c>
      <c r="K58" s="73">
        <v>98594.245259999996</v>
      </c>
      <c r="L58" s="73">
        <v>104798.69231</v>
      </c>
      <c r="M58" s="40">
        <v>113074.52890999999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s="10" customFormat="1" ht="11.25" customHeight="1" x14ac:dyDescent="0.2">
      <c r="A59" s="45"/>
      <c r="B59" s="45"/>
      <c r="C59" s="62" t="s">
        <v>170</v>
      </c>
      <c r="E59" s="73">
        <v>1290.99225</v>
      </c>
      <c r="F59" s="73">
        <v>1954.2008000000001</v>
      </c>
      <c r="G59" s="73">
        <v>1179.0473999999999</v>
      </c>
      <c r="H59" s="73">
        <v>2175.4796500000002</v>
      </c>
      <c r="I59" s="73">
        <v>15660.43485</v>
      </c>
      <c r="J59" s="73">
        <v>8710.5457999999999</v>
      </c>
      <c r="K59" s="73">
        <v>5062.8704500000003</v>
      </c>
      <c r="L59" s="73">
        <v>4341.9917500000001</v>
      </c>
      <c r="M59" s="40">
        <v>6976.7273100000002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s="5" customFormat="1" ht="11.25" customHeight="1" x14ac:dyDescent="0.2">
      <c r="A60" s="42"/>
      <c r="B60" s="94" t="s">
        <v>49</v>
      </c>
      <c r="C60" s="94"/>
      <c r="D60" s="94"/>
      <c r="E60" s="32">
        <v>119238.37394999999</v>
      </c>
      <c r="F60" s="32">
        <v>125037.56760000001</v>
      </c>
      <c r="G60" s="32">
        <v>125364.25639000001</v>
      </c>
      <c r="H60" s="32">
        <v>133029.47626</v>
      </c>
      <c r="I60" s="32">
        <v>148972.77145000003</v>
      </c>
      <c r="J60" s="32">
        <v>147448.10014</v>
      </c>
      <c r="K60" s="32">
        <v>147020.97052</v>
      </c>
      <c r="L60" s="32">
        <v>151799.85917000001</v>
      </c>
      <c r="M60" s="30">
        <v>156448.85086000001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s="25" customFormat="1" ht="11.25" customHeight="1" x14ac:dyDescent="0.2">
      <c r="A61" s="48"/>
      <c r="B61" s="49"/>
      <c r="C61" s="92" t="s">
        <v>50</v>
      </c>
      <c r="D61" s="92"/>
      <c r="E61" s="39">
        <v>811.55129999999997</v>
      </c>
      <c r="F61" s="39">
        <v>740.93539999999996</v>
      </c>
      <c r="G61" s="39">
        <v>698.05754999999999</v>
      </c>
      <c r="H61" s="39">
        <v>579.74090000000001</v>
      </c>
      <c r="I61" s="39">
        <v>627.98694999999998</v>
      </c>
      <c r="J61" s="39">
        <v>583.33384999999998</v>
      </c>
      <c r="K61" s="39">
        <v>995.08155999999997</v>
      </c>
      <c r="L61" s="39">
        <v>1162.2781</v>
      </c>
      <c r="M61" s="37">
        <v>1226.9897699999999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</row>
    <row r="62" spans="1:30" s="10" customFormat="1" ht="11.25" customHeight="1" x14ac:dyDescent="0.2">
      <c r="A62" s="45"/>
      <c r="B62" s="45"/>
      <c r="C62" s="92" t="s">
        <v>171</v>
      </c>
      <c r="D62" s="92"/>
      <c r="E62" s="39">
        <v>67574.601999999999</v>
      </c>
      <c r="F62" s="39">
        <v>73330.635999999999</v>
      </c>
      <c r="G62" s="39">
        <v>73077.107000000004</v>
      </c>
      <c r="H62" s="39">
        <v>81752.025999999998</v>
      </c>
      <c r="I62" s="39">
        <v>98862.74742</v>
      </c>
      <c r="J62" s="39">
        <v>96945.517779999995</v>
      </c>
      <c r="K62" s="39">
        <v>96968.171149999995</v>
      </c>
      <c r="L62" s="39">
        <v>100897.44953</v>
      </c>
      <c r="M62" s="40">
        <v>104753.27059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s="10" customFormat="1" ht="11.25" customHeight="1" x14ac:dyDescent="0.2">
      <c r="A63" s="45"/>
      <c r="B63" s="45"/>
      <c r="C63" s="92" t="s">
        <v>172</v>
      </c>
      <c r="D63" s="92"/>
      <c r="E63" s="39">
        <v>44474.071499999998</v>
      </c>
      <c r="F63" s="39">
        <v>44174.898150000001</v>
      </c>
      <c r="G63" s="39">
        <v>45593.297100000003</v>
      </c>
      <c r="H63" s="39">
        <v>44209.722150000001</v>
      </c>
      <c r="I63" s="39">
        <v>42256.385450000002</v>
      </c>
      <c r="J63" s="39">
        <v>42872.031049999998</v>
      </c>
      <c r="K63" s="39">
        <v>42048.390469999998</v>
      </c>
      <c r="L63" s="39">
        <v>42806.9352</v>
      </c>
      <c r="M63" s="40">
        <v>43044.235180000003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s="10" customFormat="1" ht="11.25" customHeight="1" x14ac:dyDescent="0.2">
      <c r="A64" s="45"/>
      <c r="B64" s="45"/>
      <c r="C64" s="92" t="s">
        <v>173</v>
      </c>
      <c r="D64" s="92"/>
      <c r="E64" s="39">
        <v>6378.1491500000002</v>
      </c>
      <c r="F64" s="39">
        <v>6791.0980499999996</v>
      </c>
      <c r="G64" s="39">
        <v>5995.7947400000003</v>
      </c>
      <c r="H64" s="39">
        <v>6487.9872100000002</v>
      </c>
      <c r="I64" s="39">
        <v>7225.6516300000003</v>
      </c>
      <c r="J64" s="39">
        <v>7047.2174599999998</v>
      </c>
      <c r="K64" s="39">
        <v>7009.3273399999998</v>
      </c>
      <c r="L64" s="39">
        <v>6933.1963400000004</v>
      </c>
      <c r="M64" s="40">
        <v>7424.3553199999997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s="5" customFormat="1" ht="11.25" customHeight="1" x14ac:dyDescent="0.2">
      <c r="A65" s="42"/>
      <c r="B65" s="94" t="s">
        <v>174</v>
      </c>
      <c r="C65" s="94"/>
      <c r="D65" s="94"/>
      <c r="E65" s="32">
        <v>1133.694</v>
      </c>
      <c r="F65" s="32">
        <v>715.86</v>
      </c>
      <c r="G65" s="32">
        <v>1290.4780000000001</v>
      </c>
      <c r="H65" s="32">
        <v>1765.838</v>
      </c>
      <c r="I65" s="32">
        <v>167.059</v>
      </c>
      <c r="J65" s="32">
        <v>625.39075000000003</v>
      </c>
      <c r="K65" s="32">
        <v>82.51</v>
      </c>
      <c r="L65" s="32">
        <v>125.285</v>
      </c>
      <c r="M65" s="30">
        <v>1459.798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s="5" customFormat="1" ht="11.25" customHeight="1" x14ac:dyDescent="0.2">
      <c r="A66" s="42"/>
      <c r="B66" s="76"/>
      <c r="C66" s="92" t="s">
        <v>240</v>
      </c>
      <c r="D66" s="92"/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145.92375000000001</v>
      </c>
      <c r="K66" s="39">
        <v>0</v>
      </c>
      <c r="L66" s="39">
        <v>0</v>
      </c>
      <c r="M66" s="40">
        <v>0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s="10" customFormat="1" ht="11.25" customHeight="1" x14ac:dyDescent="0.2">
      <c r="A67" s="45"/>
      <c r="B67" s="35"/>
      <c r="C67" s="92" t="s">
        <v>175</v>
      </c>
      <c r="D67" s="92"/>
      <c r="E67" s="39">
        <v>1133.694</v>
      </c>
      <c r="F67" s="39">
        <v>715.86</v>
      </c>
      <c r="G67" s="39">
        <v>1290.4780000000001</v>
      </c>
      <c r="H67" s="39">
        <v>1765.838</v>
      </c>
      <c r="I67" s="39">
        <v>167.059</v>
      </c>
      <c r="J67" s="39">
        <v>479.46699999999998</v>
      </c>
      <c r="K67" s="39">
        <v>82.51</v>
      </c>
      <c r="L67" s="39">
        <v>125.285</v>
      </c>
      <c r="M67" s="40">
        <v>1459.798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s="5" customFormat="1" ht="11.25" customHeight="1" x14ac:dyDescent="0.2">
      <c r="A68" s="42"/>
      <c r="B68" s="94" t="s">
        <v>57</v>
      </c>
      <c r="C68" s="94"/>
      <c r="D68" s="94"/>
      <c r="E68" s="32">
        <v>194673.05239</v>
      </c>
      <c r="F68" s="32">
        <v>208231.52370999998</v>
      </c>
      <c r="G68" s="32">
        <v>200934.01309999998</v>
      </c>
      <c r="H68" s="32">
        <v>203000.56161</v>
      </c>
      <c r="I68" s="32">
        <v>204599.91764999999</v>
      </c>
      <c r="J68" s="32">
        <v>204176.44724000001</v>
      </c>
      <c r="K68" s="32">
        <v>204069.32255999997</v>
      </c>
      <c r="L68" s="32">
        <v>205280.86001999999</v>
      </c>
      <c r="M68" s="30">
        <v>222560.05098999999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s="10" customFormat="1" ht="11.25" customHeight="1" x14ac:dyDescent="0.2">
      <c r="A69" s="45"/>
      <c r="B69" s="46"/>
      <c r="C69" s="92" t="s">
        <v>176</v>
      </c>
      <c r="D69" s="92"/>
      <c r="E69" s="39">
        <v>10850.59152</v>
      </c>
      <c r="F69" s="39">
        <v>10142.40461</v>
      </c>
      <c r="G69" s="39">
        <v>9832.5894599999992</v>
      </c>
      <c r="H69" s="39">
        <v>9525.3097199999993</v>
      </c>
      <c r="I69" s="39">
        <v>10179.549220000001</v>
      </c>
      <c r="J69" s="39">
        <v>9760.3731299999999</v>
      </c>
      <c r="K69" s="39">
        <v>10103.473309999999</v>
      </c>
      <c r="L69" s="39">
        <v>9964.2957499999993</v>
      </c>
      <c r="M69" s="40">
        <v>10483.524880000001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s="10" customFormat="1" ht="11.25" customHeight="1" x14ac:dyDescent="0.2">
      <c r="A70" s="45"/>
      <c r="B70" s="45"/>
      <c r="C70" s="92" t="s">
        <v>177</v>
      </c>
      <c r="D70" s="92"/>
      <c r="E70" s="39">
        <v>55571.28312</v>
      </c>
      <c r="F70" s="39">
        <v>56265.609989999997</v>
      </c>
      <c r="G70" s="39">
        <v>57043.370190000001</v>
      </c>
      <c r="H70" s="39">
        <v>56473.385979999999</v>
      </c>
      <c r="I70" s="39">
        <v>57097.103510000001</v>
      </c>
      <c r="J70" s="39">
        <v>54489.549630000001</v>
      </c>
      <c r="K70" s="39">
        <v>51317.824070000002</v>
      </c>
      <c r="L70" s="39">
        <v>54249.723700000002</v>
      </c>
      <c r="M70" s="40">
        <v>57585.957620000001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s="10" customFormat="1" ht="11.25" customHeight="1" x14ac:dyDescent="0.2">
      <c r="A71" s="45"/>
      <c r="B71" s="45"/>
      <c r="C71" s="92" t="s">
        <v>178</v>
      </c>
      <c r="D71" s="92"/>
      <c r="E71" s="39">
        <v>79245.494300000006</v>
      </c>
      <c r="F71" s="39">
        <v>81030.141050000006</v>
      </c>
      <c r="G71" s="39">
        <v>82376.198799999998</v>
      </c>
      <c r="H71" s="39">
        <v>85246.452300000004</v>
      </c>
      <c r="I71" s="39">
        <v>86854.152300000002</v>
      </c>
      <c r="J71" s="39">
        <v>88367.360700000005</v>
      </c>
      <c r="K71" s="39">
        <v>88474.592699999994</v>
      </c>
      <c r="L71" s="39">
        <v>88980.058699999994</v>
      </c>
      <c r="M71" s="40">
        <v>88959.204429999998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s="10" customFormat="1" ht="11.25" customHeight="1" x14ac:dyDescent="0.2">
      <c r="A72" s="45"/>
      <c r="B72" s="45"/>
      <c r="C72" s="92" t="s">
        <v>179</v>
      </c>
      <c r="D72" s="92"/>
      <c r="E72" s="39">
        <v>24424.646339999999</v>
      </c>
      <c r="F72" s="39">
        <v>35571.100149999998</v>
      </c>
      <c r="G72" s="39">
        <v>26098.736010000001</v>
      </c>
      <c r="H72" s="39">
        <v>27114.524069999999</v>
      </c>
      <c r="I72" s="39">
        <v>26572.794389999999</v>
      </c>
      <c r="J72" s="39">
        <v>27644.377850000001</v>
      </c>
      <c r="K72" s="39">
        <v>28917.503499999999</v>
      </c>
      <c r="L72" s="39">
        <v>13867.486339999999</v>
      </c>
      <c r="M72" s="40">
        <v>27916.238700000002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s="10" customFormat="1" ht="11.25" customHeight="1" x14ac:dyDescent="0.2">
      <c r="A73" s="45"/>
      <c r="B73" s="45"/>
      <c r="C73" s="92" t="s">
        <v>180</v>
      </c>
      <c r="D73" s="92"/>
      <c r="E73" s="39">
        <v>24581.037110000001</v>
      </c>
      <c r="F73" s="39">
        <v>25222.267909999999</v>
      </c>
      <c r="G73" s="39">
        <v>25583.118640000001</v>
      </c>
      <c r="H73" s="39">
        <v>24640.88954</v>
      </c>
      <c r="I73" s="39">
        <v>23896.318230000001</v>
      </c>
      <c r="J73" s="39">
        <v>23914.785929999998</v>
      </c>
      <c r="K73" s="39">
        <v>25255.928980000001</v>
      </c>
      <c r="L73" s="39">
        <v>38219.295530000003</v>
      </c>
      <c r="M73" s="40">
        <v>37615.125359999998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s="5" customFormat="1" ht="11.25" customHeight="1" x14ac:dyDescent="0.2">
      <c r="A74" s="94" t="s">
        <v>182</v>
      </c>
      <c r="B74" s="94"/>
      <c r="C74" s="94"/>
      <c r="D74" s="94"/>
      <c r="E74" s="32">
        <v>3423084.2486399999</v>
      </c>
      <c r="F74" s="32">
        <v>3486718.0598900001</v>
      </c>
      <c r="G74" s="32">
        <v>3573705.1763000004</v>
      </c>
      <c r="H74" s="32">
        <v>3715297.9443100002</v>
      </c>
      <c r="I74" s="32">
        <v>3815658.1500400002</v>
      </c>
      <c r="J74" s="32">
        <v>3824992.6742600002</v>
      </c>
      <c r="K74" s="32">
        <v>3782617.3334599999</v>
      </c>
      <c r="L74" s="32">
        <v>4160350.1632400001</v>
      </c>
      <c r="M74" s="30">
        <v>4222505.5373900002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s="5" customFormat="1" ht="11.25" customHeight="1" x14ac:dyDescent="0.2">
      <c r="A75" s="31"/>
      <c r="B75" s="94" t="s">
        <v>183</v>
      </c>
      <c r="C75" s="94"/>
      <c r="D75" s="94"/>
      <c r="E75" s="32">
        <v>1823610.5637300001</v>
      </c>
      <c r="F75" s="32">
        <v>1818622.7632300002</v>
      </c>
      <c r="G75" s="32">
        <v>1898553.7272400002</v>
      </c>
      <c r="H75" s="32">
        <v>1949416.6990499999</v>
      </c>
      <c r="I75" s="32">
        <v>2027243.57544</v>
      </c>
      <c r="J75" s="32">
        <v>2022948.35772</v>
      </c>
      <c r="K75" s="32">
        <v>1910036.3202999998</v>
      </c>
      <c r="L75" s="32">
        <v>2034832.2842000001</v>
      </c>
      <c r="M75" s="30">
        <v>2135039.7684499999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s="10" customFormat="1" ht="11.25" customHeight="1" x14ac:dyDescent="0.2">
      <c r="A76" s="45"/>
      <c r="B76" s="46"/>
      <c r="C76" s="92" t="s">
        <v>184</v>
      </c>
      <c r="D76" s="92"/>
      <c r="E76" s="39">
        <v>1062194.7185899999</v>
      </c>
      <c r="F76" s="39">
        <v>1086082.4144900001</v>
      </c>
      <c r="G76" s="39">
        <v>1139738.84619</v>
      </c>
      <c r="H76" s="39">
        <v>1197705.86546</v>
      </c>
      <c r="I76" s="39">
        <v>1268719.76086</v>
      </c>
      <c r="J76" s="39">
        <v>1313329.59699</v>
      </c>
      <c r="K76" s="39">
        <v>1223005.29788</v>
      </c>
      <c r="L76" s="39">
        <v>1295900.95836</v>
      </c>
      <c r="M76" s="40">
        <v>1365870.8178999999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s="10" customFormat="1" ht="11.25" customHeight="1" x14ac:dyDescent="0.2">
      <c r="A77" s="45"/>
      <c r="B77" s="45"/>
      <c r="C77" s="92" t="s">
        <v>185</v>
      </c>
      <c r="D77" s="92"/>
      <c r="E77" s="39">
        <v>313919.64915000001</v>
      </c>
      <c r="F77" s="39">
        <v>286093.26386000001</v>
      </c>
      <c r="G77" s="39">
        <v>303897.50654999999</v>
      </c>
      <c r="H77" s="39">
        <v>309420.65418999997</v>
      </c>
      <c r="I77" s="39">
        <v>313304.70108000003</v>
      </c>
      <c r="J77" s="39">
        <v>263404.26403000002</v>
      </c>
      <c r="K77" s="39">
        <v>255736.8334</v>
      </c>
      <c r="L77" s="39">
        <v>246661.75039</v>
      </c>
      <c r="M77" s="40">
        <v>272773.21766999998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s="10" customFormat="1" ht="11.25" customHeight="1" x14ac:dyDescent="0.2">
      <c r="A78" s="45"/>
      <c r="B78" s="45"/>
      <c r="C78" s="92" t="s">
        <v>186</v>
      </c>
      <c r="D78" s="92"/>
      <c r="E78" s="39">
        <v>317607.65078000003</v>
      </c>
      <c r="F78" s="39">
        <v>312049.33749000001</v>
      </c>
      <c r="G78" s="39">
        <v>316547.93825000001</v>
      </c>
      <c r="H78" s="39">
        <v>301506.61924999999</v>
      </c>
      <c r="I78" s="39">
        <v>302896.01315000001</v>
      </c>
      <c r="J78" s="39">
        <v>308732.11705</v>
      </c>
      <c r="K78" s="39">
        <v>292793.39114000002</v>
      </c>
      <c r="L78" s="39">
        <v>351960.76565000002</v>
      </c>
      <c r="M78" s="40">
        <v>356033.53018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s="10" customFormat="1" ht="11.25" customHeight="1" x14ac:dyDescent="0.2">
      <c r="A79" s="45"/>
      <c r="B79" s="45"/>
      <c r="C79" s="92" t="s">
        <v>187</v>
      </c>
      <c r="D79" s="92"/>
      <c r="E79" s="39">
        <v>129888.54521</v>
      </c>
      <c r="F79" s="39">
        <v>134397.74739</v>
      </c>
      <c r="G79" s="39">
        <v>138369.43625</v>
      </c>
      <c r="H79" s="39">
        <v>140783.56015</v>
      </c>
      <c r="I79" s="39">
        <v>142323.10034999999</v>
      </c>
      <c r="J79" s="39">
        <v>137482.37964999999</v>
      </c>
      <c r="K79" s="39">
        <v>138500.79788</v>
      </c>
      <c r="L79" s="39">
        <v>140308.80979999999</v>
      </c>
      <c r="M79" s="40">
        <v>140362.20269999999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s="5" customFormat="1" ht="11.25" customHeight="1" x14ac:dyDescent="0.2">
      <c r="A80" s="42"/>
      <c r="B80" s="94" t="s">
        <v>188</v>
      </c>
      <c r="C80" s="94"/>
      <c r="D80" s="94"/>
      <c r="E80" s="32">
        <v>105436.76304000001</v>
      </c>
      <c r="F80" s="32">
        <v>175317.35993999999</v>
      </c>
      <c r="G80" s="32">
        <v>140020.42290000001</v>
      </c>
      <c r="H80" s="32">
        <v>166284.99549</v>
      </c>
      <c r="I80" s="32">
        <v>173836.40896999999</v>
      </c>
      <c r="J80" s="32">
        <v>172265.66730999999</v>
      </c>
      <c r="K80" s="32">
        <v>227971.49059</v>
      </c>
      <c r="L80" s="32">
        <v>285291.62906000001</v>
      </c>
      <c r="M80" s="30">
        <v>288610.68955000001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s="10" customFormat="1" ht="11.25" customHeight="1" x14ac:dyDescent="0.2">
      <c r="A81" s="45"/>
      <c r="B81" s="46"/>
      <c r="C81" s="92" t="s">
        <v>189</v>
      </c>
      <c r="D81" s="92"/>
      <c r="E81" s="39">
        <v>63.095050000000001</v>
      </c>
      <c r="F81" s="39">
        <v>29.533300000000001</v>
      </c>
      <c r="G81" s="39">
        <v>28.939050000000002</v>
      </c>
      <c r="H81" s="39">
        <v>49.382399999999997</v>
      </c>
      <c r="I81" s="39">
        <v>63.631599999999999</v>
      </c>
      <c r="J81" s="39">
        <v>29.315899999999999</v>
      </c>
      <c r="K81" s="39">
        <v>31.1769</v>
      </c>
      <c r="L81" s="39">
        <v>41.243949999999998</v>
      </c>
      <c r="M81" s="40">
        <v>29.612300000000001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s="10" customFormat="1" ht="11.25" customHeight="1" x14ac:dyDescent="0.2">
      <c r="A82" s="45"/>
      <c r="B82" s="45"/>
      <c r="C82" s="92" t="s">
        <v>233</v>
      </c>
      <c r="D82" s="92"/>
      <c r="E82" s="39">
        <v>0</v>
      </c>
      <c r="F82" s="39">
        <v>56715.837</v>
      </c>
      <c r="G82" s="39">
        <v>28368.620999999999</v>
      </c>
      <c r="H82" s="39">
        <v>48891.358</v>
      </c>
      <c r="I82" s="39">
        <v>56235.716999999997</v>
      </c>
      <c r="J82" s="39">
        <v>55852.453000000001</v>
      </c>
      <c r="K82" s="39">
        <v>110723.47</v>
      </c>
      <c r="L82" s="39">
        <v>164387.402</v>
      </c>
      <c r="M82" s="40">
        <v>162644.932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s="10" customFormat="1" ht="11.25" customHeight="1" x14ac:dyDescent="0.2">
      <c r="A83" s="45"/>
      <c r="B83" s="45"/>
      <c r="C83" s="92" t="s">
        <v>190</v>
      </c>
      <c r="D83" s="92"/>
      <c r="E83" s="39">
        <v>81679.112689999994</v>
      </c>
      <c r="F83" s="39">
        <v>93730.527289999998</v>
      </c>
      <c r="G83" s="39">
        <v>88402.450100000002</v>
      </c>
      <c r="H83" s="39">
        <v>92848.623739999995</v>
      </c>
      <c r="I83" s="39">
        <v>93943.940270000006</v>
      </c>
      <c r="J83" s="39">
        <v>93622.85196</v>
      </c>
      <c r="K83" s="39">
        <v>93810.813139999998</v>
      </c>
      <c r="L83" s="39">
        <v>96661.833459999994</v>
      </c>
      <c r="M83" s="40">
        <v>97606.934699999998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s="10" customFormat="1" ht="11.25" customHeight="1" x14ac:dyDescent="0.2">
      <c r="A84" s="45"/>
      <c r="B84" s="47"/>
      <c r="C84" s="92" t="s">
        <v>191</v>
      </c>
      <c r="D84" s="92"/>
      <c r="E84" s="39">
        <v>23694.5553</v>
      </c>
      <c r="F84" s="39">
        <v>24841.462350000002</v>
      </c>
      <c r="G84" s="39">
        <v>23220.41275</v>
      </c>
      <c r="H84" s="39">
        <v>24495.63135</v>
      </c>
      <c r="I84" s="39">
        <v>23593.1201</v>
      </c>
      <c r="J84" s="39">
        <v>22761.046450000002</v>
      </c>
      <c r="K84" s="39">
        <v>23406.030549999999</v>
      </c>
      <c r="L84" s="39">
        <v>24201.149649999999</v>
      </c>
      <c r="M84" s="40">
        <v>28329.21055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s="5" customFormat="1" ht="11.25" customHeight="1" x14ac:dyDescent="0.2">
      <c r="A85" s="42"/>
      <c r="B85" s="95" t="s">
        <v>192</v>
      </c>
      <c r="C85" s="94"/>
      <c r="D85" s="94"/>
      <c r="E85" s="32">
        <v>243146.10587999999</v>
      </c>
      <c r="F85" s="32">
        <v>246295.38764</v>
      </c>
      <c r="G85" s="32">
        <v>256932.20542999997</v>
      </c>
      <c r="H85" s="32">
        <v>263958.96924000001</v>
      </c>
      <c r="I85" s="32">
        <v>269602.05316000001</v>
      </c>
      <c r="J85" s="32">
        <v>273022.67275000003</v>
      </c>
      <c r="K85" s="32">
        <v>248996.73233</v>
      </c>
      <c r="L85" s="32">
        <v>257301.58627</v>
      </c>
      <c r="M85" s="30">
        <v>278388.80112999998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s="10" customFormat="1" ht="11.25" customHeight="1" x14ac:dyDescent="0.2">
      <c r="A86" s="45"/>
      <c r="B86" s="46"/>
      <c r="C86" s="92" t="s">
        <v>87</v>
      </c>
      <c r="D86" s="92"/>
      <c r="E86" s="39">
        <v>6664.4322000000002</v>
      </c>
      <c r="F86" s="39">
        <v>3764.21875</v>
      </c>
      <c r="G86" s="39">
        <v>3787.5262499999999</v>
      </c>
      <c r="H86" s="39">
        <v>2870.53</v>
      </c>
      <c r="I86" s="39">
        <v>4216.1000000000004</v>
      </c>
      <c r="J86" s="39">
        <v>3849.87</v>
      </c>
      <c r="K86" s="39">
        <v>2851.52</v>
      </c>
      <c r="L86" s="39">
        <v>2741.8225000000002</v>
      </c>
      <c r="M86" s="40">
        <v>2801.8119999999999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s="10" customFormat="1" ht="11.25" customHeight="1" x14ac:dyDescent="0.2">
      <c r="A87" s="45"/>
      <c r="B87" s="45"/>
      <c r="C87" s="92" t="s">
        <v>193</v>
      </c>
      <c r="D87" s="92"/>
      <c r="E87" s="39">
        <v>69675.652560000002</v>
      </c>
      <c r="F87" s="39">
        <v>73876.21097</v>
      </c>
      <c r="G87" s="39">
        <v>77352.232959999994</v>
      </c>
      <c r="H87" s="39">
        <v>78416.558080000003</v>
      </c>
      <c r="I87" s="39">
        <v>77114.568180000002</v>
      </c>
      <c r="J87" s="39">
        <v>82177.670459999994</v>
      </c>
      <c r="K87" s="39">
        <v>72557.668850000002</v>
      </c>
      <c r="L87" s="39">
        <v>74185.827420000001</v>
      </c>
      <c r="M87" s="40">
        <v>77760.809959999999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s="25" customFormat="1" ht="11.25" customHeight="1" x14ac:dyDescent="0.2">
      <c r="A88" s="48"/>
      <c r="B88" s="48"/>
      <c r="C88" s="92" t="s">
        <v>194</v>
      </c>
      <c r="D88" s="92"/>
      <c r="E88" s="39">
        <v>26000.921300000002</v>
      </c>
      <c r="F88" s="39">
        <v>28212.564760000001</v>
      </c>
      <c r="G88" s="39">
        <v>29079.66014</v>
      </c>
      <c r="H88" s="39">
        <v>29692.8845</v>
      </c>
      <c r="I88" s="39">
        <v>29751.1895</v>
      </c>
      <c r="J88" s="39">
        <v>32559.100399999999</v>
      </c>
      <c r="K88" s="39">
        <v>29276.887449999998</v>
      </c>
      <c r="L88" s="39">
        <v>32312.95739</v>
      </c>
      <c r="M88" s="37">
        <v>32363.088660000001</v>
      </c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25" customFormat="1" ht="11.25" customHeight="1" x14ac:dyDescent="0.2">
      <c r="A89" s="48"/>
      <c r="B89" s="48"/>
      <c r="C89" s="92" t="s">
        <v>195</v>
      </c>
      <c r="D89" s="92"/>
      <c r="E89" s="39">
        <v>8239.7921299999998</v>
      </c>
      <c r="F89" s="39">
        <v>8610.8144799999991</v>
      </c>
      <c r="G89" s="39">
        <v>8146.6489300000003</v>
      </c>
      <c r="H89" s="39">
        <v>8523.6358700000001</v>
      </c>
      <c r="I89" s="39">
        <v>8567.2790700000005</v>
      </c>
      <c r="J89" s="39">
        <v>8758.8584200000005</v>
      </c>
      <c r="K89" s="39">
        <v>6444.5871999999999</v>
      </c>
      <c r="L89" s="39">
        <v>6914.44326</v>
      </c>
      <c r="M89" s="37">
        <v>7603.9452499999998</v>
      </c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10" customFormat="1" ht="11.25" customHeight="1" x14ac:dyDescent="0.2">
      <c r="A90" s="45"/>
      <c r="B90" s="45"/>
      <c r="C90" s="92" t="s">
        <v>196</v>
      </c>
      <c r="D90" s="92"/>
      <c r="E90" s="39">
        <v>25837.434959999999</v>
      </c>
      <c r="F90" s="39">
        <v>24959.664479999999</v>
      </c>
      <c r="G90" s="39">
        <v>26046.497200000002</v>
      </c>
      <c r="H90" s="39">
        <v>24408.49569</v>
      </c>
      <c r="I90" s="39">
        <v>24437.939590000002</v>
      </c>
      <c r="J90" s="39">
        <v>25413.789959999998</v>
      </c>
      <c r="K90" s="39">
        <v>18832.58857</v>
      </c>
      <c r="L90" s="39">
        <v>20324.498920000002</v>
      </c>
      <c r="M90" s="40">
        <v>22915.78543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s="10" customFormat="1" ht="11.25" customHeight="1" x14ac:dyDescent="0.2">
      <c r="A91" s="45"/>
      <c r="B91" s="45"/>
      <c r="C91" s="92" t="s">
        <v>197</v>
      </c>
      <c r="D91" s="92"/>
      <c r="E91" s="39">
        <v>9306.6163899999992</v>
      </c>
      <c r="F91" s="39">
        <v>9242.3687100000006</v>
      </c>
      <c r="G91" s="39">
        <v>9018.9643899999992</v>
      </c>
      <c r="H91" s="39">
        <v>8628.8626199999999</v>
      </c>
      <c r="I91" s="39">
        <v>6954.0234899999996</v>
      </c>
      <c r="J91" s="39">
        <v>6977.4274699999996</v>
      </c>
      <c r="K91" s="39">
        <v>8801.3955100000003</v>
      </c>
      <c r="L91" s="39">
        <v>6558.0705399999997</v>
      </c>
      <c r="M91" s="40">
        <v>7075.5937599999997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s="10" customFormat="1" ht="11.25" customHeight="1" x14ac:dyDescent="0.2">
      <c r="A92" s="45"/>
      <c r="B92" s="45"/>
      <c r="C92" s="92" t="s">
        <v>198</v>
      </c>
      <c r="D92" s="92"/>
      <c r="E92" s="39">
        <v>75547.743419999999</v>
      </c>
      <c r="F92" s="39">
        <v>76370.910149999996</v>
      </c>
      <c r="G92" s="39">
        <v>73595.881559999994</v>
      </c>
      <c r="H92" s="39">
        <v>78275.98173</v>
      </c>
      <c r="I92" s="39">
        <v>89372.311539999995</v>
      </c>
      <c r="J92" s="39">
        <v>83327.495089999997</v>
      </c>
      <c r="K92" s="39">
        <v>85685.04277</v>
      </c>
      <c r="L92" s="39">
        <v>86775.862219999995</v>
      </c>
      <c r="M92" s="40">
        <v>98453.732470000003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s="10" customFormat="1" ht="11.25" customHeight="1" x14ac:dyDescent="0.2">
      <c r="A93" s="45"/>
      <c r="B93" s="47"/>
      <c r="C93" s="92" t="s">
        <v>94</v>
      </c>
      <c r="D93" s="92"/>
      <c r="E93" s="39">
        <v>21873.512920000001</v>
      </c>
      <c r="F93" s="39">
        <v>21258.635340000001</v>
      </c>
      <c r="G93" s="39">
        <v>29904.794000000002</v>
      </c>
      <c r="H93" s="39">
        <v>33142.020750000003</v>
      </c>
      <c r="I93" s="39">
        <v>29188.641790000001</v>
      </c>
      <c r="J93" s="39">
        <v>29958.460950000001</v>
      </c>
      <c r="K93" s="39">
        <v>24547.041980000002</v>
      </c>
      <c r="L93" s="39">
        <v>27488.104019999999</v>
      </c>
      <c r="M93" s="40">
        <v>29414.033599999999</v>
      </c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s="5" customFormat="1" ht="11.25" customHeight="1" x14ac:dyDescent="0.2">
      <c r="A94" s="42"/>
      <c r="B94" s="94" t="s">
        <v>199</v>
      </c>
      <c r="C94" s="94"/>
      <c r="D94" s="94"/>
      <c r="E94" s="32">
        <v>23420.366170000001</v>
      </c>
      <c r="F94" s="32">
        <v>15840.89925</v>
      </c>
      <c r="G94" s="32">
        <v>21775.847120000002</v>
      </c>
      <c r="H94" s="32">
        <v>32997.254710000001</v>
      </c>
      <c r="I94" s="32">
        <v>18079.41113</v>
      </c>
      <c r="J94" s="32">
        <v>25258.614379999999</v>
      </c>
      <c r="K94" s="32">
        <v>11519.13012</v>
      </c>
      <c r="L94" s="32">
        <v>15961.32296</v>
      </c>
      <c r="M94" s="30">
        <v>17973.66142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s="10" customFormat="1" ht="11.25" customHeight="1" x14ac:dyDescent="0.2">
      <c r="A95" s="45"/>
      <c r="B95" s="46"/>
      <c r="C95" s="92" t="s">
        <v>200</v>
      </c>
      <c r="D95" s="92"/>
      <c r="E95" s="39">
        <v>17030.01483</v>
      </c>
      <c r="F95" s="39">
        <v>14515.69634</v>
      </c>
      <c r="G95" s="39">
        <v>16542.204600000001</v>
      </c>
      <c r="H95" s="39">
        <v>14709.19368</v>
      </c>
      <c r="I95" s="39">
        <v>17010.02159</v>
      </c>
      <c r="J95" s="39">
        <v>24201.09145</v>
      </c>
      <c r="K95" s="39">
        <v>9514.4287499999991</v>
      </c>
      <c r="L95" s="39">
        <v>11220.91914</v>
      </c>
      <c r="M95" s="40">
        <v>13861.394190000001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s="10" customFormat="1" ht="11.25" customHeight="1" x14ac:dyDescent="0.2">
      <c r="A96" s="45"/>
      <c r="B96" s="45"/>
      <c r="C96" s="92" t="s">
        <v>201</v>
      </c>
      <c r="D96" s="92"/>
      <c r="E96" s="39">
        <v>224.61365000000001</v>
      </c>
      <c r="F96" s="39">
        <v>77.23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40">
        <v>0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s="25" customFormat="1" ht="11.25" customHeight="1" x14ac:dyDescent="0.2">
      <c r="A97" s="48"/>
      <c r="B97" s="48"/>
      <c r="C97" s="92" t="s">
        <v>202</v>
      </c>
      <c r="D97" s="92"/>
      <c r="E97" s="39">
        <v>6165.7376899999999</v>
      </c>
      <c r="F97" s="39">
        <v>1247.97291</v>
      </c>
      <c r="G97" s="39">
        <v>5233.6425200000003</v>
      </c>
      <c r="H97" s="39">
        <v>18288.061030000001</v>
      </c>
      <c r="I97" s="39">
        <v>1069.3895399999999</v>
      </c>
      <c r="J97" s="39">
        <v>1057.5229300000001</v>
      </c>
      <c r="K97" s="39">
        <v>2004.70137</v>
      </c>
      <c r="L97" s="39">
        <v>4740.4038200000005</v>
      </c>
      <c r="M97" s="37">
        <v>4112.2672300000004</v>
      </c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27" customFormat="1" ht="11.25" customHeight="1" x14ac:dyDescent="0.2">
      <c r="A98" s="51"/>
      <c r="B98" s="94" t="s">
        <v>203</v>
      </c>
      <c r="C98" s="94"/>
      <c r="D98" s="94"/>
      <c r="E98" s="32">
        <v>64687.071750000003</v>
      </c>
      <c r="F98" s="32">
        <v>59719.837469999999</v>
      </c>
      <c r="G98" s="32">
        <v>66408.029320000001</v>
      </c>
      <c r="H98" s="32">
        <v>64587.069049999998</v>
      </c>
      <c r="I98" s="32">
        <v>64630.009570000009</v>
      </c>
      <c r="J98" s="32">
        <v>68458.151100000003</v>
      </c>
      <c r="K98" s="32">
        <v>76595.721109999999</v>
      </c>
      <c r="L98" s="32">
        <v>69186.204410000006</v>
      </c>
      <c r="M98" s="54">
        <v>82574.462499999994</v>
      </c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27" customFormat="1" ht="11.25" customHeight="1" x14ac:dyDescent="0.2">
      <c r="A99" s="51"/>
      <c r="B99" s="64"/>
      <c r="C99" s="92" t="s">
        <v>204</v>
      </c>
      <c r="D99" s="92"/>
      <c r="E99" s="39">
        <v>7511.4382100000003</v>
      </c>
      <c r="F99" s="39">
        <v>10385.73479</v>
      </c>
      <c r="G99" s="39">
        <v>11430.846100000001</v>
      </c>
      <c r="H99" s="39">
        <v>11507.65526</v>
      </c>
      <c r="I99" s="39">
        <v>10477.326590000001</v>
      </c>
      <c r="J99" s="39">
        <v>8698.5321800000002</v>
      </c>
      <c r="K99" s="39">
        <v>7942.8927800000001</v>
      </c>
      <c r="L99" s="39">
        <v>7562.1360400000003</v>
      </c>
      <c r="M99" s="37">
        <v>9629.2837899999995</v>
      </c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27" customFormat="1" ht="11.25" customHeight="1" x14ac:dyDescent="0.2">
      <c r="A100" s="51"/>
      <c r="B100" s="65"/>
      <c r="C100" s="92" t="s">
        <v>205</v>
      </c>
      <c r="D100" s="92"/>
      <c r="E100" s="39">
        <v>427.32058999999998</v>
      </c>
      <c r="F100" s="39">
        <v>260.93124999999998</v>
      </c>
      <c r="G100" s="39">
        <v>204.4768</v>
      </c>
      <c r="H100" s="39">
        <v>738.59456999999998</v>
      </c>
      <c r="I100" s="39">
        <v>204.32089999999999</v>
      </c>
      <c r="J100" s="39">
        <v>491.29946000000001</v>
      </c>
      <c r="K100" s="39">
        <v>399.05444</v>
      </c>
      <c r="L100" s="39">
        <v>854.07928000000004</v>
      </c>
      <c r="M100" s="37">
        <v>101.63030999999999</v>
      </c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27" customFormat="1" ht="11.25" customHeight="1" x14ac:dyDescent="0.2">
      <c r="A101" s="51"/>
      <c r="B101" s="65"/>
      <c r="C101" s="92" t="s">
        <v>241</v>
      </c>
      <c r="D101" s="92"/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51.277639999999998</v>
      </c>
      <c r="L101" s="39">
        <v>218.47762</v>
      </c>
      <c r="M101" s="37">
        <v>51.366349999999997</v>
      </c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27" customFormat="1" ht="11.25" customHeight="1" x14ac:dyDescent="0.2">
      <c r="A102" s="51"/>
      <c r="B102" s="65"/>
      <c r="C102" s="92" t="s">
        <v>236</v>
      </c>
      <c r="D102" s="92"/>
      <c r="E102" s="39">
        <v>0</v>
      </c>
      <c r="F102" s="39">
        <v>0</v>
      </c>
      <c r="G102" s="39">
        <v>5102.0020000000004</v>
      </c>
      <c r="H102" s="39">
        <v>0</v>
      </c>
      <c r="I102" s="39">
        <v>0</v>
      </c>
      <c r="J102" s="39">
        <v>0</v>
      </c>
      <c r="K102" s="39">
        <v>8802.4421399999992</v>
      </c>
      <c r="L102" s="39">
        <v>1551.57</v>
      </c>
      <c r="M102" s="37">
        <v>4041</v>
      </c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27" customFormat="1" ht="11.25" customHeight="1" x14ac:dyDescent="0.2">
      <c r="A103" s="51"/>
      <c r="B103" s="65"/>
      <c r="C103" s="92" t="s">
        <v>208</v>
      </c>
      <c r="D103" s="92"/>
      <c r="E103" s="39">
        <v>227.6139</v>
      </c>
      <c r="F103" s="39">
        <v>256.22613999999999</v>
      </c>
      <c r="G103" s="39">
        <v>205.84877</v>
      </c>
      <c r="H103" s="39">
        <v>176.70570000000001</v>
      </c>
      <c r="I103" s="39">
        <v>231.81190000000001</v>
      </c>
      <c r="J103" s="39">
        <v>177.92070000000001</v>
      </c>
      <c r="K103" s="39">
        <v>148.38055</v>
      </c>
      <c r="L103" s="39">
        <v>133.55484999999999</v>
      </c>
      <c r="M103" s="37">
        <v>108.6615</v>
      </c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27" customFormat="1" ht="11.25" customHeight="1" x14ac:dyDescent="0.2">
      <c r="A104" s="51"/>
      <c r="B104" s="65"/>
      <c r="C104" s="92" t="s">
        <v>206</v>
      </c>
      <c r="D104" s="92"/>
      <c r="E104" s="39">
        <v>49329.528599999998</v>
      </c>
      <c r="F104" s="39">
        <v>41322.967779999999</v>
      </c>
      <c r="G104" s="39">
        <v>38564.900370000003</v>
      </c>
      <c r="H104" s="39">
        <v>40544.874000000003</v>
      </c>
      <c r="I104" s="39">
        <v>44177.863060000003</v>
      </c>
      <c r="J104" s="39">
        <v>49359.58784</v>
      </c>
      <c r="K104" s="39">
        <v>49414.497609999999</v>
      </c>
      <c r="L104" s="39">
        <v>47035.00937</v>
      </c>
      <c r="M104" s="37">
        <v>51143.146059999999</v>
      </c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10" customFormat="1" ht="11.25" customHeight="1" x14ac:dyDescent="0.2">
      <c r="A105" s="50"/>
      <c r="B105" s="50"/>
      <c r="C105" s="92" t="s">
        <v>207</v>
      </c>
      <c r="D105" s="92"/>
      <c r="E105" s="39">
        <v>7191.1704499999996</v>
      </c>
      <c r="F105" s="39">
        <v>7493.9775099999997</v>
      </c>
      <c r="G105" s="39">
        <v>7699.5785900000001</v>
      </c>
      <c r="H105" s="39">
        <v>7596.7841600000002</v>
      </c>
      <c r="I105" s="39">
        <v>7731.4401900000003</v>
      </c>
      <c r="J105" s="39">
        <v>8218.8138299999991</v>
      </c>
      <c r="K105" s="39">
        <v>7916.9555399999999</v>
      </c>
      <c r="L105" s="39">
        <v>7397.3825500000003</v>
      </c>
      <c r="M105" s="40">
        <v>7901.1682099999998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s="10" customFormat="1" ht="11.25" customHeight="1" x14ac:dyDescent="0.2">
      <c r="A106" s="50"/>
      <c r="B106" s="52"/>
      <c r="C106" s="92" t="s">
        <v>237</v>
      </c>
      <c r="D106" s="92"/>
      <c r="E106" s="39">
        <v>0</v>
      </c>
      <c r="F106" s="39">
        <v>0</v>
      </c>
      <c r="G106" s="39">
        <v>3200.3766900000001</v>
      </c>
      <c r="H106" s="39">
        <v>4022.4553599999999</v>
      </c>
      <c r="I106" s="39">
        <v>1807.24693</v>
      </c>
      <c r="J106" s="39">
        <v>1511.9970900000001</v>
      </c>
      <c r="K106" s="39">
        <v>1920.2204099999999</v>
      </c>
      <c r="L106" s="39">
        <v>4433.9947000000002</v>
      </c>
      <c r="M106" s="40">
        <v>9598.2062800000003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s="5" customFormat="1" ht="11.25" customHeight="1" x14ac:dyDescent="0.2">
      <c r="A107" s="42"/>
      <c r="B107" s="94" t="s">
        <v>209</v>
      </c>
      <c r="C107" s="94"/>
      <c r="D107" s="94"/>
      <c r="E107" s="32">
        <v>9956.94967</v>
      </c>
      <c r="F107" s="32">
        <v>11747.833490000001</v>
      </c>
      <c r="G107" s="32">
        <v>10003.556280000001</v>
      </c>
      <c r="H107" s="32">
        <v>8390.1992499999997</v>
      </c>
      <c r="I107" s="32">
        <v>7127.3785200000002</v>
      </c>
      <c r="J107" s="32">
        <v>3676.2561700000001</v>
      </c>
      <c r="K107" s="32">
        <v>3859.41887</v>
      </c>
      <c r="L107" s="32">
        <v>3424.1136299999998</v>
      </c>
      <c r="M107" s="30">
        <v>3826.6302900000001</v>
      </c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s="10" customFormat="1" ht="11.25" customHeight="1" x14ac:dyDescent="0.2">
      <c r="A108" s="50"/>
      <c r="B108" s="56"/>
      <c r="C108" s="92" t="s">
        <v>210</v>
      </c>
      <c r="D108" s="92"/>
      <c r="E108" s="39">
        <v>9956.94967</v>
      </c>
      <c r="F108" s="39">
        <v>11747.833490000001</v>
      </c>
      <c r="G108" s="39">
        <v>10003.556280000001</v>
      </c>
      <c r="H108" s="39">
        <v>9390.1992499999997</v>
      </c>
      <c r="I108" s="39">
        <v>7127.3785200000002</v>
      </c>
      <c r="J108" s="39">
        <v>3676.2561700000001</v>
      </c>
      <c r="K108" s="39">
        <v>3859.41887</v>
      </c>
      <c r="L108" s="39">
        <v>3424.1136299999998</v>
      </c>
      <c r="M108" s="40">
        <v>3826.6302900000001</v>
      </c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s="5" customFormat="1" ht="11.25" customHeight="1" x14ac:dyDescent="0.2">
      <c r="A109" s="42"/>
      <c r="B109" s="94" t="s">
        <v>211</v>
      </c>
      <c r="C109" s="94"/>
      <c r="D109" s="94"/>
      <c r="E109" s="32">
        <v>835837.81437000004</v>
      </c>
      <c r="F109" s="32">
        <v>824863.13055999996</v>
      </c>
      <c r="G109" s="32">
        <v>851576.99447999999</v>
      </c>
      <c r="H109" s="32">
        <v>892942.64165000001</v>
      </c>
      <c r="I109" s="32">
        <v>901361.34214999992</v>
      </c>
      <c r="J109" s="32">
        <v>907583.28945000004</v>
      </c>
      <c r="K109" s="32">
        <v>952419.12906000006</v>
      </c>
      <c r="L109" s="32">
        <v>1136199.64552</v>
      </c>
      <c r="M109" s="30">
        <v>1036123.4312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s="10" customFormat="1" ht="11.25" customHeight="1" x14ac:dyDescent="0.2">
      <c r="A110" s="50"/>
      <c r="B110" s="56"/>
      <c r="C110" s="92" t="s">
        <v>212</v>
      </c>
      <c r="D110" s="92"/>
      <c r="E110" s="39">
        <v>215415.75503</v>
      </c>
      <c r="F110" s="39">
        <v>195131.1642</v>
      </c>
      <c r="G110" s="39">
        <v>175101.80713999999</v>
      </c>
      <c r="H110" s="39">
        <v>194428.38800000001</v>
      </c>
      <c r="I110" s="39">
        <v>200830.28698</v>
      </c>
      <c r="J110" s="39">
        <v>207703.84424000001</v>
      </c>
      <c r="K110" s="39">
        <v>218696.27591999999</v>
      </c>
      <c r="L110" s="39">
        <v>250239.26342999999</v>
      </c>
      <c r="M110" s="40">
        <v>244128.44289999999</v>
      </c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s="10" customFormat="1" ht="11.25" customHeight="1" x14ac:dyDescent="0.2">
      <c r="A111" s="50"/>
      <c r="B111" s="50"/>
      <c r="C111" s="92" t="s">
        <v>213</v>
      </c>
      <c r="D111" s="92"/>
      <c r="E111" s="39">
        <v>40894.443679999997</v>
      </c>
      <c r="F111" s="39">
        <v>47963.808949999999</v>
      </c>
      <c r="G111" s="39">
        <v>57445.106639999998</v>
      </c>
      <c r="H111" s="39">
        <v>55770.790910000003</v>
      </c>
      <c r="I111" s="39">
        <v>51516.517509999998</v>
      </c>
      <c r="J111" s="39">
        <v>54076.978280000003</v>
      </c>
      <c r="K111" s="39">
        <v>52782.022199999999</v>
      </c>
      <c r="L111" s="39">
        <v>49240.757700000002</v>
      </c>
      <c r="M111" s="40">
        <v>94918.96716</v>
      </c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s="25" customFormat="1" ht="11.25" customHeight="1" x14ac:dyDescent="0.2">
      <c r="A112" s="51"/>
      <c r="B112" s="51"/>
      <c r="C112" s="61" t="s">
        <v>156</v>
      </c>
      <c r="D112" s="66"/>
      <c r="E112" s="68">
        <v>101891.842</v>
      </c>
      <c r="F112" s="68">
        <v>102414.107</v>
      </c>
      <c r="G112" s="68">
        <v>121383.504</v>
      </c>
      <c r="H112" s="68">
        <v>117055.17200000001</v>
      </c>
      <c r="I112" s="68">
        <v>113550.88400000001</v>
      </c>
      <c r="J112" s="68">
        <v>119869.872</v>
      </c>
      <c r="K112" s="68">
        <v>123591.31299999999</v>
      </c>
      <c r="L112" s="68">
        <v>120424.851</v>
      </c>
      <c r="M112" s="37">
        <v>131528.973</v>
      </c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10" customFormat="1" ht="11.25" customHeight="1" x14ac:dyDescent="0.2">
      <c r="A113" s="50"/>
      <c r="B113" s="50"/>
      <c r="C113" s="60"/>
      <c r="D113" s="61" t="s">
        <v>214</v>
      </c>
      <c r="E113" s="39">
        <v>35081.747000000003</v>
      </c>
      <c r="F113" s="39">
        <v>40000.887000000002</v>
      </c>
      <c r="G113" s="39">
        <v>53706.828999999998</v>
      </c>
      <c r="H113" s="39">
        <v>52220.254000000001</v>
      </c>
      <c r="I113" s="39">
        <v>45553.788</v>
      </c>
      <c r="J113" s="39">
        <v>46949.002</v>
      </c>
      <c r="K113" s="39">
        <v>50040.311000000002</v>
      </c>
      <c r="L113" s="39">
        <v>47436.464999999997</v>
      </c>
      <c r="M113" s="40">
        <v>55083.955000000002</v>
      </c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s="10" customFormat="1" ht="11.25" customHeight="1" x14ac:dyDescent="0.2">
      <c r="A114" s="50"/>
      <c r="B114" s="50"/>
      <c r="C114" s="62"/>
      <c r="D114" s="61" t="s">
        <v>215</v>
      </c>
      <c r="E114" s="39">
        <v>66810.095000000001</v>
      </c>
      <c r="F114" s="39">
        <v>62413.22</v>
      </c>
      <c r="G114" s="39">
        <v>67676.675000000003</v>
      </c>
      <c r="H114" s="39">
        <v>64834.917999999998</v>
      </c>
      <c r="I114" s="39">
        <v>67997.096000000005</v>
      </c>
      <c r="J114" s="39">
        <v>72920.87</v>
      </c>
      <c r="K114" s="39">
        <v>73551.001999999993</v>
      </c>
      <c r="L114" s="39">
        <v>72988.385999999999</v>
      </c>
      <c r="M114" s="40">
        <v>76445.017999999996</v>
      </c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s="5" customFormat="1" ht="11.25" customHeight="1" x14ac:dyDescent="0.2">
      <c r="A115" s="42"/>
      <c r="B115" s="50"/>
      <c r="C115" s="62" t="s">
        <v>216</v>
      </c>
      <c r="D115" s="52"/>
      <c r="E115" s="67">
        <v>477203.94680999999</v>
      </c>
      <c r="F115" s="67">
        <v>478791.10235999996</v>
      </c>
      <c r="G115" s="67">
        <v>497093.33129999996</v>
      </c>
      <c r="H115" s="67">
        <v>525044.31504000002</v>
      </c>
      <c r="I115" s="67">
        <v>534301.97355999995</v>
      </c>
      <c r="J115" s="67">
        <v>524912.04162999999</v>
      </c>
      <c r="K115" s="67">
        <v>556916.58269000007</v>
      </c>
      <c r="L115" s="67">
        <v>716051.64789000002</v>
      </c>
      <c r="M115" s="40">
        <v>564830.76888999995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s="5" customFormat="1" ht="11.25" customHeight="1" x14ac:dyDescent="0.2">
      <c r="A116" s="42"/>
      <c r="B116" s="50"/>
      <c r="C116" s="60"/>
      <c r="D116" s="62" t="s">
        <v>217</v>
      </c>
      <c r="E116" s="67">
        <v>295061.04294999997</v>
      </c>
      <c r="F116" s="67">
        <v>295331.03584999999</v>
      </c>
      <c r="G116" s="67">
        <v>300145.52697000001</v>
      </c>
      <c r="H116" s="67">
        <v>315429.89916999999</v>
      </c>
      <c r="I116" s="67">
        <v>320132.10307000001</v>
      </c>
      <c r="J116" s="67">
        <v>323501.55650000001</v>
      </c>
      <c r="K116" s="67">
        <v>322343.54583999998</v>
      </c>
      <c r="L116" s="67">
        <v>465878.53915000003</v>
      </c>
      <c r="M116" s="40">
        <v>340541.82339999999</v>
      </c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s="5" customFormat="1" ht="11.25" customHeight="1" x14ac:dyDescent="0.2">
      <c r="A117" s="42"/>
      <c r="B117" s="50"/>
      <c r="C117" s="63"/>
      <c r="D117" s="62" t="s">
        <v>218</v>
      </c>
      <c r="E117" s="67">
        <v>181045.55460999999</v>
      </c>
      <c r="F117" s="67">
        <v>182701.12651999999</v>
      </c>
      <c r="G117" s="67">
        <v>193765.32831000001</v>
      </c>
      <c r="H117" s="67">
        <v>206135.78138999999</v>
      </c>
      <c r="I117" s="67">
        <v>211207.69138</v>
      </c>
      <c r="J117" s="67">
        <v>191064.45874</v>
      </c>
      <c r="K117" s="67">
        <v>221816.12182999999</v>
      </c>
      <c r="L117" s="67">
        <v>229959.84276999999</v>
      </c>
      <c r="M117" s="40">
        <v>203563.45569999999</v>
      </c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s="5" customFormat="1" ht="11.25" customHeight="1" x14ac:dyDescent="0.2">
      <c r="A118" s="42"/>
      <c r="B118" s="50"/>
      <c r="C118" s="63"/>
      <c r="D118" s="62" t="s">
        <v>219</v>
      </c>
      <c r="E118" s="67">
        <v>607.91684999999995</v>
      </c>
      <c r="F118" s="67">
        <v>316.18914999999998</v>
      </c>
      <c r="G118" s="67">
        <v>500.39690000000002</v>
      </c>
      <c r="H118" s="67">
        <v>290.13125000000002</v>
      </c>
      <c r="I118" s="67">
        <v>154.9136</v>
      </c>
      <c r="J118" s="67">
        <v>153.23005000000001</v>
      </c>
      <c r="K118" s="67">
        <v>723.97415000000001</v>
      </c>
      <c r="L118" s="67">
        <v>537.70024999999998</v>
      </c>
      <c r="M118" s="40">
        <v>201.28368</v>
      </c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5" customFormat="1" ht="11.25" customHeight="1" x14ac:dyDescent="0.2">
      <c r="A119" s="42"/>
      <c r="B119" s="50"/>
      <c r="C119" s="63"/>
      <c r="D119" s="62" t="s">
        <v>238</v>
      </c>
      <c r="E119" s="67">
        <v>0</v>
      </c>
      <c r="F119" s="67">
        <v>0</v>
      </c>
      <c r="G119" s="67">
        <v>2000</v>
      </c>
      <c r="H119" s="67">
        <v>2000</v>
      </c>
      <c r="I119" s="67">
        <v>2000</v>
      </c>
      <c r="J119" s="67">
        <v>2000</v>
      </c>
      <c r="K119" s="67">
        <v>2000</v>
      </c>
      <c r="L119" s="67">
        <v>2000</v>
      </c>
      <c r="M119" s="40">
        <v>2000</v>
      </c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s="5" customFormat="1" ht="11.25" customHeight="1" x14ac:dyDescent="0.2">
      <c r="A120" s="42"/>
      <c r="B120" s="50"/>
      <c r="C120" s="63"/>
      <c r="D120" s="62" t="s">
        <v>220</v>
      </c>
      <c r="E120" s="67">
        <v>241.1114</v>
      </c>
      <c r="F120" s="67">
        <v>98.2</v>
      </c>
      <c r="G120" s="67">
        <v>57.2</v>
      </c>
      <c r="H120" s="67">
        <v>61</v>
      </c>
      <c r="I120" s="67">
        <v>51.5</v>
      </c>
      <c r="J120" s="67">
        <v>40</v>
      </c>
      <c r="K120" s="67">
        <v>34</v>
      </c>
      <c r="L120" s="67">
        <v>6438.1680999999999</v>
      </c>
      <c r="M120" s="40">
        <v>3229.1585</v>
      </c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s="10" customFormat="1" ht="11.25" customHeight="1" x14ac:dyDescent="0.2">
      <c r="A121" s="50"/>
      <c r="B121" s="50"/>
      <c r="C121" s="63"/>
      <c r="D121" s="61" t="s">
        <v>221</v>
      </c>
      <c r="E121" s="39">
        <v>39.520000000000003</v>
      </c>
      <c r="F121" s="39">
        <v>40.49</v>
      </c>
      <c r="G121" s="39">
        <v>39.284999999999997</v>
      </c>
      <c r="H121" s="39">
        <v>41.905000000000001</v>
      </c>
      <c r="I121" s="39">
        <v>42.69</v>
      </c>
      <c r="J121" s="39">
        <v>7542.6082500000002</v>
      </c>
      <c r="K121" s="39">
        <v>8912.9586500000005</v>
      </c>
      <c r="L121" s="39">
        <v>11028.12888</v>
      </c>
      <c r="M121" s="40">
        <v>14189.41754</v>
      </c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s="25" customFormat="1" ht="11.25" customHeight="1" x14ac:dyDescent="0.2">
      <c r="A122" s="51"/>
      <c r="B122" s="51"/>
      <c r="C122" s="63"/>
      <c r="D122" s="61" t="s">
        <v>222</v>
      </c>
      <c r="E122" s="39">
        <v>58.801000000000002</v>
      </c>
      <c r="F122" s="39">
        <v>304.06083999999998</v>
      </c>
      <c r="G122" s="39">
        <v>235.59711999999999</v>
      </c>
      <c r="H122" s="39">
        <v>935.60122999999999</v>
      </c>
      <c r="I122" s="39">
        <v>613.08423000000005</v>
      </c>
      <c r="J122" s="39">
        <v>610.18808999999999</v>
      </c>
      <c r="K122" s="39">
        <v>22.892679999999999</v>
      </c>
      <c r="L122" s="39">
        <v>19.682790000000001</v>
      </c>
      <c r="M122" s="37">
        <v>676.63112000000001</v>
      </c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25" customFormat="1" ht="11.25" customHeight="1" x14ac:dyDescent="0.2">
      <c r="A123" s="51"/>
      <c r="B123" s="51"/>
      <c r="C123" s="47"/>
      <c r="D123" s="35" t="s">
        <v>223</v>
      </c>
      <c r="E123" s="39">
        <v>150</v>
      </c>
      <c r="F123" s="39">
        <v>0</v>
      </c>
      <c r="G123" s="39">
        <v>349.99700000000001</v>
      </c>
      <c r="H123" s="39">
        <v>149.99700000000001</v>
      </c>
      <c r="I123" s="39">
        <v>99.991280000000003</v>
      </c>
      <c r="J123" s="39">
        <v>0</v>
      </c>
      <c r="K123" s="39">
        <v>1063.0895399999999</v>
      </c>
      <c r="L123" s="39">
        <v>189.58595</v>
      </c>
      <c r="M123" s="37">
        <v>428.99894999999998</v>
      </c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5" customFormat="1" ht="11.25" customHeight="1" x14ac:dyDescent="0.2">
      <c r="A124" s="42"/>
      <c r="B124" s="28"/>
      <c r="C124" s="92" t="s">
        <v>224</v>
      </c>
      <c r="D124" s="92"/>
      <c r="E124" s="39">
        <v>431.82684999999998</v>
      </c>
      <c r="F124" s="39">
        <v>562.94804999999997</v>
      </c>
      <c r="G124" s="39">
        <v>553.24540000000002</v>
      </c>
      <c r="H124" s="39">
        <v>643.97569999999996</v>
      </c>
      <c r="I124" s="39">
        <v>1161.6801</v>
      </c>
      <c r="J124" s="39">
        <v>1020.5533</v>
      </c>
      <c r="K124" s="39">
        <v>432.93525</v>
      </c>
      <c r="L124" s="39">
        <v>243.12549999999999</v>
      </c>
      <c r="M124" s="40">
        <v>716.27925000000005</v>
      </c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s="5" customFormat="1" ht="11.25" customHeight="1" x14ac:dyDescent="0.2">
      <c r="A125" s="42"/>
      <c r="B125" s="94" t="s">
        <v>109</v>
      </c>
      <c r="C125" s="94"/>
      <c r="D125" s="94"/>
      <c r="E125" s="32">
        <v>119238.37394999999</v>
      </c>
      <c r="F125" s="32">
        <v>125037.56759999999</v>
      </c>
      <c r="G125" s="32">
        <v>125364.25639</v>
      </c>
      <c r="H125" s="32">
        <v>133029.47626</v>
      </c>
      <c r="I125" s="32">
        <v>148972.77145</v>
      </c>
      <c r="J125" s="32">
        <v>147448.10014</v>
      </c>
      <c r="K125" s="32">
        <v>147020.97052</v>
      </c>
      <c r="L125" s="32">
        <v>151799.85917000001</v>
      </c>
      <c r="M125" s="30">
        <v>156448.85086000001</v>
      </c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s="10" customFormat="1" ht="11.25" customHeight="1" x14ac:dyDescent="0.2">
      <c r="A126" s="50"/>
      <c r="B126" s="56"/>
      <c r="C126" s="92" t="s">
        <v>225</v>
      </c>
      <c r="D126" s="92"/>
      <c r="E126" s="39">
        <v>76340.459149999995</v>
      </c>
      <c r="F126" s="39">
        <v>78363.998800000001</v>
      </c>
      <c r="G126" s="39">
        <v>79782.616389999996</v>
      </c>
      <c r="H126" s="39">
        <v>84592.953259999995</v>
      </c>
      <c r="I126" s="39">
        <v>94993.998030000002</v>
      </c>
      <c r="J126" s="39">
        <v>89621.979210000005</v>
      </c>
      <c r="K126" s="39">
        <v>98782.633260000002</v>
      </c>
      <c r="L126" s="39">
        <v>89845.899940000003</v>
      </c>
      <c r="M126" s="40">
        <v>87926.086679999993</v>
      </c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s="10" customFormat="1" ht="11.25" customHeight="1" x14ac:dyDescent="0.2">
      <c r="A127" s="50"/>
      <c r="B127" s="50"/>
      <c r="C127" s="92" t="s">
        <v>226</v>
      </c>
      <c r="D127" s="92"/>
      <c r="E127" s="39">
        <v>1429.7298000000001</v>
      </c>
      <c r="F127" s="39">
        <v>1247.1258</v>
      </c>
      <c r="G127" s="39">
        <v>1110.2137</v>
      </c>
      <c r="H127" s="39">
        <v>970.99</v>
      </c>
      <c r="I127" s="39">
        <v>1016.121</v>
      </c>
      <c r="J127" s="39">
        <v>1008.37315</v>
      </c>
      <c r="K127" s="39">
        <v>771.12365</v>
      </c>
      <c r="L127" s="39">
        <v>754.18970000000002</v>
      </c>
      <c r="M127" s="40">
        <v>1229.4522199999999</v>
      </c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s="10" customFormat="1" ht="11.25" customHeight="1" x14ac:dyDescent="0.2">
      <c r="A128" s="50"/>
      <c r="B128" s="52"/>
      <c r="C128" s="92" t="s">
        <v>227</v>
      </c>
      <c r="D128" s="92"/>
      <c r="E128" s="39">
        <v>41468.184999999998</v>
      </c>
      <c r="F128" s="39">
        <v>45426.442999999999</v>
      </c>
      <c r="G128" s="39">
        <v>44471.426299999999</v>
      </c>
      <c r="H128" s="39">
        <v>47465.533000000003</v>
      </c>
      <c r="I128" s="39">
        <v>52962.652419999999</v>
      </c>
      <c r="J128" s="39">
        <v>56817.747779999998</v>
      </c>
      <c r="K128" s="39">
        <v>47361.704149999998</v>
      </c>
      <c r="L128" s="39">
        <v>61199.769529999998</v>
      </c>
      <c r="M128" s="40">
        <v>67239.580589999998</v>
      </c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s="10" customFormat="1" ht="11.25" customHeight="1" x14ac:dyDescent="0.2">
      <c r="A129" s="50"/>
      <c r="B129" s="52"/>
      <c r="C129" s="92" t="s">
        <v>242</v>
      </c>
      <c r="D129" s="92"/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105.50946</v>
      </c>
      <c r="L129" s="39">
        <v>0</v>
      </c>
      <c r="M129" s="40">
        <v>53.731369999999998</v>
      </c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s="10" customFormat="1" ht="11.25" customHeight="1" x14ac:dyDescent="0.2">
      <c r="A130" s="50"/>
      <c r="B130" s="94" t="s">
        <v>234</v>
      </c>
      <c r="C130" s="94"/>
      <c r="D130" s="94"/>
      <c r="E130" s="32">
        <v>3077.1876900000002</v>
      </c>
      <c r="F130" s="32">
        <v>1041.7570000000001</v>
      </c>
      <c r="G130" s="32">
        <v>2136.1240400000002</v>
      </c>
      <c r="H130" s="32">
        <v>690.07799999999997</v>
      </c>
      <c r="I130" s="32">
        <v>205.28200000000001</v>
      </c>
      <c r="J130" s="32">
        <v>155.11799999999999</v>
      </c>
      <c r="K130" s="32">
        <v>129.09800000000001</v>
      </c>
      <c r="L130" s="32">
        <v>1072.6579999999999</v>
      </c>
      <c r="M130" s="32">
        <v>959.19100000000003</v>
      </c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s="10" customFormat="1" ht="11.25" customHeight="1" x14ac:dyDescent="0.2">
      <c r="A131" s="50"/>
      <c r="B131" s="55"/>
      <c r="C131" s="90" t="s">
        <v>228</v>
      </c>
      <c r="D131" s="90"/>
      <c r="E131" s="67">
        <v>3077.1876900000002</v>
      </c>
      <c r="F131" s="67">
        <v>1041.7570000000001</v>
      </c>
      <c r="G131" s="67">
        <v>2136.1240400000002</v>
      </c>
      <c r="H131" s="67">
        <v>690.07799999999997</v>
      </c>
      <c r="I131" s="67">
        <v>205.28200000000001</v>
      </c>
      <c r="J131" s="67">
        <v>155.11799999999999</v>
      </c>
      <c r="K131" s="67">
        <v>129.09800000000001</v>
      </c>
      <c r="L131" s="67">
        <v>1072.6579999999999</v>
      </c>
      <c r="M131" s="40">
        <v>959.19100000000003</v>
      </c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s="10" customFormat="1" ht="11.25" customHeight="1" x14ac:dyDescent="0.2">
      <c r="A132" s="50"/>
      <c r="B132" s="91" t="s">
        <v>239</v>
      </c>
      <c r="C132" s="91"/>
      <c r="D132" s="91"/>
      <c r="E132" s="32">
        <v>194673.05239</v>
      </c>
      <c r="F132" s="32">
        <v>208231.52371000001</v>
      </c>
      <c r="G132" s="32">
        <v>200934.01309999998</v>
      </c>
      <c r="H132" s="32">
        <v>203000.56161</v>
      </c>
      <c r="I132" s="32">
        <v>204599.91764999999</v>
      </c>
      <c r="J132" s="32">
        <v>204176.44724000001</v>
      </c>
      <c r="K132" s="32">
        <v>204069.32255999997</v>
      </c>
      <c r="L132" s="32">
        <v>205280.86001999999</v>
      </c>
      <c r="M132" s="30">
        <v>222560.05098999999</v>
      </c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s="10" customFormat="1" ht="11.25" customHeight="1" x14ac:dyDescent="0.2">
      <c r="A133" s="50"/>
      <c r="B133" s="50"/>
      <c r="C133" s="90" t="s">
        <v>176</v>
      </c>
      <c r="D133" s="90"/>
      <c r="E133" s="67">
        <v>10850.59152</v>
      </c>
      <c r="F133" s="67">
        <v>10142.40461</v>
      </c>
      <c r="G133" s="67">
        <v>9832.5894599999992</v>
      </c>
      <c r="H133" s="67">
        <v>9525.3097199999993</v>
      </c>
      <c r="I133" s="67">
        <v>10179.549220000001</v>
      </c>
      <c r="J133" s="67">
        <v>9760.3731299999999</v>
      </c>
      <c r="K133" s="67">
        <v>10103.473309999999</v>
      </c>
      <c r="L133" s="67">
        <v>9964.2957499999993</v>
      </c>
      <c r="M133" s="40">
        <v>10483.524880000001</v>
      </c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s="10" customFormat="1" ht="11.25" customHeight="1" x14ac:dyDescent="0.2">
      <c r="A134" s="50"/>
      <c r="B134" s="50"/>
      <c r="C134" s="92" t="s">
        <v>177</v>
      </c>
      <c r="D134" s="92"/>
      <c r="E134" s="39">
        <v>55571.28312</v>
      </c>
      <c r="F134" s="39">
        <v>56265.609989999997</v>
      </c>
      <c r="G134" s="39">
        <v>57043.370190000001</v>
      </c>
      <c r="H134" s="39">
        <v>56473.385979999999</v>
      </c>
      <c r="I134" s="39">
        <v>57097.103510000001</v>
      </c>
      <c r="J134" s="39">
        <v>54489.549630000001</v>
      </c>
      <c r="K134" s="39">
        <v>51317.824070000002</v>
      </c>
      <c r="L134" s="39">
        <v>54249.723700000002</v>
      </c>
      <c r="M134" s="40">
        <v>57585.957620000001</v>
      </c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s="10" customFormat="1" ht="11.25" customHeight="1" x14ac:dyDescent="0.2">
      <c r="A135" s="50"/>
      <c r="B135" s="50"/>
      <c r="C135" s="92" t="s">
        <v>178</v>
      </c>
      <c r="D135" s="92"/>
      <c r="E135" s="69">
        <v>79245.494300000006</v>
      </c>
      <c r="F135" s="69">
        <v>81030.141050000006</v>
      </c>
      <c r="G135" s="69">
        <v>82376.198799999998</v>
      </c>
      <c r="H135" s="69">
        <v>85246.452300000004</v>
      </c>
      <c r="I135" s="69">
        <v>86854.152300000002</v>
      </c>
      <c r="J135" s="69">
        <v>88367.360700000005</v>
      </c>
      <c r="K135" s="69">
        <v>88474.592699999994</v>
      </c>
      <c r="L135" s="69">
        <v>88980.058699999994</v>
      </c>
      <c r="M135" s="59">
        <v>88959.204429999998</v>
      </c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s="10" customFormat="1" ht="11.25" customHeight="1" x14ac:dyDescent="0.2">
      <c r="A136" s="50"/>
      <c r="B136" s="50"/>
      <c r="C136" s="92" t="s">
        <v>179</v>
      </c>
      <c r="D136" s="92"/>
      <c r="E136" s="39">
        <v>24424.646339999999</v>
      </c>
      <c r="F136" s="39">
        <v>35571.100149999998</v>
      </c>
      <c r="G136" s="39">
        <v>26098.736010000001</v>
      </c>
      <c r="H136" s="39">
        <v>27114.524069999999</v>
      </c>
      <c r="I136" s="39">
        <v>26572.794389999999</v>
      </c>
      <c r="J136" s="39">
        <v>27644.377850000001</v>
      </c>
      <c r="K136" s="39">
        <v>28917.503499999999</v>
      </c>
      <c r="L136" s="39">
        <v>13867.486339999999</v>
      </c>
      <c r="M136" s="59">
        <v>27916.238700000002</v>
      </c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s="10" customFormat="1" ht="11.25" customHeight="1" x14ac:dyDescent="0.2">
      <c r="A137" s="50"/>
      <c r="B137" s="50"/>
      <c r="C137" s="93" t="s">
        <v>180</v>
      </c>
      <c r="D137" s="93"/>
      <c r="E137" s="70">
        <v>24581.037110000001</v>
      </c>
      <c r="F137" s="70">
        <v>25222.267909999999</v>
      </c>
      <c r="G137" s="70">
        <v>25583.118640000001</v>
      </c>
      <c r="H137" s="70">
        <v>24640.88954</v>
      </c>
      <c r="I137" s="70">
        <v>23896.318230000001</v>
      </c>
      <c r="J137" s="70">
        <v>23914.785929999998</v>
      </c>
      <c r="K137" s="70">
        <v>25255.928980000001</v>
      </c>
      <c r="L137" s="70">
        <v>38219.295530000003</v>
      </c>
      <c r="M137" s="59">
        <v>37615.125359999998</v>
      </c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s="10" customFormat="1" ht="5.2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3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s="10" customFormat="1" ht="22.5" customHeight="1" x14ac:dyDescent="0.2">
      <c r="A139" s="84" t="s">
        <v>231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s="10" customFormat="1" ht="11.25" customHeight="1" x14ac:dyDescent="0.2">
      <c r="A140" s="85" t="s">
        <v>230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s="10" customFormat="1" ht="5.2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3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s="10" customFormat="1" ht="11.25" customHeight="1" x14ac:dyDescent="0.2">
      <c r="A142" s="82" t="s">
        <v>124</v>
      </c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3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s="16" customFormat="1" ht="5.25" customHeight="1" x14ac:dyDescent="0.2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3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s="15" customFormat="1" ht="11.25" customHeight="1" x14ac:dyDescent="0.2">
      <c r="A144" s="88" t="s">
        <v>243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9"/>
    </row>
    <row r="145" spans="1:13" s="15" customFormat="1" ht="11.25" customHeight="1" x14ac:dyDescent="0.2">
      <c r="A145" s="82" t="s">
        <v>125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3"/>
    </row>
  </sheetData>
  <mergeCells count="116">
    <mergeCell ref="A1:M1"/>
    <mergeCell ref="A2:M2"/>
    <mergeCell ref="A3:M3"/>
    <mergeCell ref="A4:M4"/>
    <mergeCell ref="A5:D5"/>
    <mergeCell ref="A6:D6"/>
    <mergeCell ref="A8:D8"/>
    <mergeCell ref="B9:D9"/>
    <mergeCell ref="C10:D10"/>
    <mergeCell ref="C11:D11"/>
    <mergeCell ref="C12:D12"/>
    <mergeCell ref="A7:D7"/>
    <mergeCell ref="C13:D13"/>
    <mergeCell ref="C14:D14"/>
    <mergeCell ref="C15:D15"/>
    <mergeCell ref="B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D27"/>
    <mergeCell ref="C28:D28"/>
    <mergeCell ref="B29:D29"/>
    <mergeCell ref="C30:D30"/>
    <mergeCell ref="C31:D31"/>
    <mergeCell ref="C32:D32"/>
    <mergeCell ref="C34:D34"/>
    <mergeCell ref="B35:D35"/>
    <mergeCell ref="C36:D36"/>
    <mergeCell ref="B37:D37"/>
    <mergeCell ref="C33:D33"/>
    <mergeCell ref="C38:D38"/>
    <mergeCell ref="C42:D42"/>
    <mergeCell ref="C43:D43"/>
    <mergeCell ref="C46:D46"/>
    <mergeCell ref="C56:D56"/>
    <mergeCell ref="B60:D60"/>
    <mergeCell ref="C61:D61"/>
    <mergeCell ref="C62:D62"/>
    <mergeCell ref="C63:D63"/>
    <mergeCell ref="C64:D64"/>
    <mergeCell ref="B65:D65"/>
    <mergeCell ref="C67:D67"/>
    <mergeCell ref="C66:D66"/>
    <mergeCell ref="B68:D68"/>
    <mergeCell ref="C69:D69"/>
    <mergeCell ref="C70:D70"/>
    <mergeCell ref="C71:D71"/>
    <mergeCell ref="C72:D72"/>
    <mergeCell ref="C73:D73"/>
    <mergeCell ref="A74:D74"/>
    <mergeCell ref="B75:D75"/>
    <mergeCell ref="C76:D76"/>
    <mergeCell ref="C77:D77"/>
    <mergeCell ref="C78:D78"/>
    <mergeCell ref="C79:D79"/>
    <mergeCell ref="B80:D80"/>
    <mergeCell ref="C81:D81"/>
    <mergeCell ref="C83:D83"/>
    <mergeCell ref="C84:D84"/>
    <mergeCell ref="B85:D85"/>
    <mergeCell ref="C86:D86"/>
    <mergeCell ref="C82:D82"/>
    <mergeCell ref="C87:D87"/>
    <mergeCell ref="C88:D88"/>
    <mergeCell ref="C89:D89"/>
    <mergeCell ref="C90:D90"/>
    <mergeCell ref="C91:D91"/>
    <mergeCell ref="C92:D92"/>
    <mergeCell ref="C93:D93"/>
    <mergeCell ref="B94:D94"/>
    <mergeCell ref="C95:D95"/>
    <mergeCell ref="C96:D96"/>
    <mergeCell ref="C97:D97"/>
    <mergeCell ref="B98:D98"/>
    <mergeCell ref="C99:D99"/>
    <mergeCell ref="C100:D100"/>
    <mergeCell ref="C103:D103"/>
    <mergeCell ref="C104:D104"/>
    <mergeCell ref="C105:D105"/>
    <mergeCell ref="B107:D107"/>
    <mergeCell ref="C106:D106"/>
    <mergeCell ref="C102:D102"/>
    <mergeCell ref="C101:D101"/>
    <mergeCell ref="C108:D108"/>
    <mergeCell ref="C129:D129"/>
    <mergeCell ref="C133:D133"/>
    <mergeCell ref="C134:D134"/>
    <mergeCell ref="C135:D135"/>
    <mergeCell ref="C136:D136"/>
    <mergeCell ref="C137:D137"/>
    <mergeCell ref="A138:M138"/>
    <mergeCell ref="B109:D109"/>
    <mergeCell ref="C110:D110"/>
    <mergeCell ref="C111:D111"/>
    <mergeCell ref="C124:D124"/>
    <mergeCell ref="B125:D125"/>
    <mergeCell ref="C126:D126"/>
    <mergeCell ref="C127:D127"/>
    <mergeCell ref="C128:D128"/>
    <mergeCell ref="B130:D130"/>
    <mergeCell ref="A145:M145"/>
    <mergeCell ref="A139:M139"/>
    <mergeCell ref="A140:M140"/>
    <mergeCell ref="A141:M141"/>
    <mergeCell ref="A142:M142"/>
    <mergeCell ref="A143:M143"/>
    <mergeCell ref="A144:M144"/>
    <mergeCell ref="C131:D131"/>
    <mergeCell ref="B132:D132"/>
  </mergeCells>
  <pageMargins left="0" right="0" top="0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zoomScaleNormal="100" workbookViewId="0">
      <pane ySplit="7" topLeftCell="A8" activePane="bottomLeft" state="frozen"/>
      <selection pane="bottomLeft" sqref="A1:R1"/>
    </sheetView>
  </sheetViews>
  <sheetFormatPr defaultRowHeight="12.75" x14ac:dyDescent="0.2"/>
  <cols>
    <col min="1" max="3" width="1.7109375" customWidth="1"/>
    <col min="4" max="4" width="49.85546875" customWidth="1"/>
    <col min="5" max="7" width="14.42578125" style="1" customWidth="1"/>
    <col min="8" max="10" width="14.42578125" customWidth="1"/>
    <col min="11" max="11" width="14.42578125" style="2" customWidth="1"/>
    <col min="12" max="17" width="14.42578125" customWidth="1"/>
    <col min="18" max="18" width="14.42578125" style="2" customWidth="1"/>
    <col min="19" max="20" width="9.140625" style="2"/>
  </cols>
  <sheetData>
    <row r="1" spans="1:20" s="3" customFormat="1" ht="12.75" customHeight="1" x14ac:dyDescent="0.2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17"/>
      <c r="T1" s="17"/>
    </row>
    <row r="2" spans="1:20" s="3" customFormat="1" ht="15" customHeight="1" x14ac:dyDescent="0.2">
      <c r="A2" s="99" t="s">
        <v>229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7"/>
      <c r="T2" s="17"/>
    </row>
    <row r="3" spans="1:20" s="5" customFormat="1" ht="12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08"/>
      <c r="R3" s="108"/>
      <c r="S3" s="23"/>
      <c r="T3" s="23"/>
    </row>
    <row r="4" spans="1:20" s="5" customFormat="1" ht="12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111"/>
      <c r="R4" s="111"/>
      <c r="S4" s="23"/>
      <c r="T4" s="23"/>
    </row>
    <row r="5" spans="1:20" s="5" customFormat="1" ht="12" customHeight="1" x14ac:dyDescent="0.2">
      <c r="A5" s="104"/>
      <c r="B5" s="104"/>
      <c r="C5" s="104"/>
      <c r="D5" s="104"/>
      <c r="E5" s="6">
        <v>2000</v>
      </c>
      <c r="F5" s="7">
        <v>2001</v>
      </c>
      <c r="G5" s="7">
        <v>2002</v>
      </c>
      <c r="H5" s="8">
        <v>2003</v>
      </c>
      <c r="I5" s="8">
        <v>2004</v>
      </c>
      <c r="J5" s="8">
        <v>2005</v>
      </c>
      <c r="K5" s="9">
        <v>2006</v>
      </c>
      <c r="L5" s="8">
        <v>2007</v>
      </c>
      <c r="M5" s="8">
        <v>2008</v>
      </c>
      <c r="N5" s="8">
        <v>2009</v>
      </c>
      <c r="O5" s="8">
        <v>2010</v>
      </c>
      <c r="P5" s="8">
        <v>2011</v>
      </c>
      <c r="Q5" s="8">
        <v>2012</v>
      </c>
      <c r="R5" s="22">
        <v>2013</v>
      </c>
      <c r="S5" s="21"/>
      <c r="T5" s="21"/>
    </row>
    <row r="6" spans="1:20" s="10" customFormat="1" ht="12" customHeight="1" x14ac:dyDescent="0.2">
      <c r="A6" s="105"/>
      <c r="B6" s="105"/>
      <c r="C6" s="105"/>
      <c r="D6" s="105"/>
      <c r="E6" s="11"/>
      <c r="F6" s="11"/>
      <c r="G6" s="12"/>
      <c r="H6" s="13"/>
      <c r="I6" s="13"/>
      <c r="J6" s="13"/>
      <c r="K6" s="14"/>
      <c r="L6" s="13"/>
      <c r="M6" s="13"/>
      <c r="N6" s="13"/>
      <c r="O6" s="13"/>
      <c r="P6" s="13"/>
      <c r="Q6" s="13"/>
      <c r="R6" s="14"/>
      <c r="S6" s="18"/>
      <c r="T6" s="18"/>
    </row>
    <row r="7" spans="1:20" s="10" customFormat="1" ht="12" customHeigh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111"/>
      <c r="S7" s="18"/>
      <c r="T7" s="18"/>
    </row>
    <row r="8" spans="1:20" s="5" customFormat="1" ht="11.25" customHeight="1" x14ac:dyDescent="0.2">
      <c r="A8" s="95" t="s">
        <v>0</v>
      </c>
      <c r="B8" s="95"/>
      <c r="C8" s="95"/>
      <c r="D8" s="95"/>
      <c r="E8" s="29">
        <f>E9+E19+E30+E35+E39+E43+E47+E56+E62+E64</f>
        <v>2304348.5120000001</v>
      </c>
      <c r="F8" s="29">
        <f>F9+F19+F30+F35+F39+F43+F47+F56+F62+F64</f>
        <v>2397239.4359999998</v>
      </c>
      <c r="G8" s="29">
        <f>G9+G19+G30+G35+G39+G43+G47+G56+G62+G64</f>
        <v>2582485.9240000001</v>
      </c>
      <c r="H8" s="29">
        <f>H9+H19+H30+H35+H39+H43+H47+H56+H62+H64</f>
        <v>2725701.6830000002</v>
      </c>
      <c r="I8" s="29">
        <f>I9+I19+I30+I35+I39+I43+I47+I56+I62+I64</f>
        <v>2819243.625</v>
      </c>
      <c r="J8" s="29">
        <v>3131325</v>
      </c>
      <c r="K8" s="29">
        <f t="shared" ref="K8:P8" si="0">K9+K19+K30+K35+K39+K43+K47+K56+K62+K64</f>
        <v>2823941.327</v>
      </c>
      <c r="L8" s="29">
        <f t="shared" si="0"/>
        <v>2890199</v>
      </c>
      <c r="M8" s="29">
        <f t="shared" si="0"/>
        <v>2991497.0238000001</v>
      </c>
      <c r="N8" s="29">
        <v>3020768</v>
      </c>
      <c r="O8" s="29">
        <f t="shared" si="0"/>
        <v>3111920</v>
      </c>
      <c r="P8" s="29">
        <f t="shared" si="0"/>
        <v>3204057</v>
      </c>
      <c r="Q8" s="29">
        <f>Q9+Q19+Q30+Q35+Q39+Q43+Q47+Q56+Q62+Q64</f>
        <v>3347046.3600000003</v>
      </c>
      <c r="R8" s="30">
        <v>3493842.0137399994</v>
      </c>
      <c r="S8" s="23"/>
      <c r="T8" s="23"/>
    </row>
    <row r="9" spans="1:20" s="5" customFormat="1" ht="11.25" customHeight="1" x14ac:dyDescent="0.2">
      <c r="A9" s="31"/>
      <c r="B9" s="94" t="s">
        <v>1</v>
      </c>
      <c r="C9" s="94"/>
      <c r="D9" s="94"/>
      <c r="E9" s="32">
        <f t="shared" ref="E9:O9" si="1">SUM(E10:E18)</f>
        <v>734825.24600000004</v>
      </c>
      <c r="F9" s="32">
        <f t="shared" si="1"/>
        <v>766250.821</v>
      </c>
      <c r="G9" s="32">
        <f t="shared" si="1"/>
        <v>783646.22600000002</v>
      </c>
      <c r="H9" s="32">
        <f t="shared" si="1"/>
        <v>804474.89500000002</v>
      </c>
      <c r="I9" s="32">
        <f t="shared" si="1"/>
        <v>815479.32100000011</v>
      </c>
      <c r="J9" s="32">
        <f t="shared" si="1"/>
        <v>823924</v>
      </c>
      <c r="K9" s="32">
        <f t="shared" si="1"/>
        <v>841373</v>
      </c>
      <c r="L9" s="32">
        <f t="shared" si="1"/>
        <v>850005</v>
      </c>
      <c r="M9" s="32">
        <f t="shared" si="1"/>
        <v>876878</v>
      </c>
      <c r="N9" s="32">
        <f t="shared" si="1"/>
        <v>896743</v>
      </c>
      <c r="O9" s="32">
        <f t="shared" si="1"/>
        <v>901894</v>
      </c>
      <c r="P9" s="32">
        <f>SUM(P10:P18)</f>
        <v>919951</v>
      </c>
      <c r="Q9" s="32">
        <f>SUM(Q10:Q18)</f>
        <v>931140.12300000002</v>
      </c>
      <c r="R9" s="30">
        <v>976544.12377000006</v>
      </c>
      <c r="S9" s="23"/>
      <c r="T9" s="23"/>
    </row>
    <row r="10" spans="1:20" s="25" customFormat="1" ht="11.25" customHeight="1" x14ac:dyDescent="0.2">
      <c r="A10" s="33"/>
      <c r="B10" s="34"/>
      <c r="C10" s="92" t="s">
        <v>2</v>
      </c>
      <c r="D10" s="92"/>
      <c r="E10" s="36">
        <f>14307795/1000</f>
        <v>14307.795</v>
      </c>
      <c r="F10" s="36">
        <f>15259608/1000</f>
        <v>15259.608</v>
      </c>
      <c r="G10" s="36">
        <f>15352209/1000</f>
        <v>15352.209000000001</v>
      </c>
      <c r="H10" s="36">
        <f>16214971/1000</f>
        <v>16214.971</v>
      </c>
      <c r="I10" s="36">
        <f>18195553/1000</f>
        <v>18195.553</v>
      </c>
      <c r="J10" s="36">
        <v>17402</v>
      </c>
      <c r="K10" s="36">
        <v>16765</v>
      </c>
      <c r="L10" s="36">
        <v>17679</v>
      </c>
      <c r="M10" s="36">
        <v>17893</v>
      </c>
      <c r="N10" s="36">
        <v>18266</v>
      </c>
      <c r="O10" s="36">
        <v>18452</v>
      </c>
      <c r="P10" s="36">
        <v>20981</v>
      </c>
      <c r="Q10" s="36">
        <v>21067.303</v>
      </c>
      <c r="R10" s="37">
        <v>21175.115379999999</v>
      </c>
      <c r="S10" s="24"/>
      <c r="T10" s="24"/>
    </row>
    <row r="11" spans="1:20" s="10" customFormat="1" ht="11.25" customHeight="1" x14ac:dyDescent="0.2">
      <c r="A11" s="38"/>
      <c r="B11" s="38"/>
      <c r="C11" s="92" t="s">
        <v>3</v>
      </c>
      <c r="D11" s="92"/>
      <c r="E11" s="39">
        <f>373281938/1000</f>
        <v>373281.93800000002</v>
      </c>
      <c r="F11" s="39">
        <f>386747880/1000</f>
        <v>386747.88</v>
      </c>
      <c r="G11" s="39">
        <f>396085050/1000</f>
        <v>396085.05</v>
      </c>
      <c r="H11" s="39">
        <f>403110783/1000</f>
        <v>403110.783</v>
      </c>
      <c r="I11" s="39">
        <f>407436264/1000</f>
        <v>407436.26400000002</v>
      </c>
      <c r="J11" s="39">
        <v>398145</v>
      </c>
      <c r="K11" s="39">
        <v>400460</v>
      </c>
      <c r="L11" s="39">
        <v>405063</v>
      </c>
      <c r="M11" s="39">
        <v>418016</v>
      </c>
      <c r="N11" s="39">
        <v>428403</v>
      </c>
      <c r="O11" s="39">
        <v>435516</v>
      </c>
      <c r="P11" s="36">
        <v>444033</v>
      </c>
      <c r="Q11" s="36">
        <v>446256.41899999999</v>
      </c>
      <c r="R11" s="40">
        <v>446139.72976000002</v>
      </c>
      <c r="S11" s="18"/>
      <c r="T11" s="18"/>
    </row>
    <row r="12" spans="1:20" s="10" customFormat="1" ht="11.25" customHeight="1" x14ac:dyDescent="0.2">
      <c r="A12" s="38"/>
      <c r="B12" s="38"/>
      <c r="C12" s="92" t="s">
        <v>4</v>
      </c>
      <c r="D12" s="92"/>
      <c r="E12" s="39">
        <f>235276500/1000</f>
        <v>235276.5</v>
      </c>
      <c r="F12" s="39">
        <f>247051284/1000</f>
        <v>247051.28400000001</v>
      </c>
      <c r="G12" s="39">
        <f>254594973/1000</f>
        <v>254594.973</v>
      </c>
      <c r="H12" s="39">
        <f>258570924/1000</f>
        <v>258570.924</v>
      </c>
      <c r="I12" s="39">
        <f>263666158/1000</f>
        <v>263666.158</v>
      </c>
      <c r="J12" s="39">
        <v>261836</v>
      </c>
      <c r="K12" s="39">
        <v>270180</v>
      </c>
      <c r="L12" s="39">
        <v>273696</v>
      </c>
      <c r="M12" s="39">
        <v>283251</v>
      </c>
      <c r="N12" s="39">
        <v>289331</v>
      </c>
      <c r="O12" s="39">
        <v>285899</v>
      </c>
      <c r="P12" s="36">
        <v>289196</v>
      </c>
      <c r="Q12" s="36">
        <v>293511.30099999998</v>
      </c>
      <c r="R12" s="40">
        <v>301449.49257999996</v>
      </c>
      <c r="S12" s="18"/>
      <c r="T12" s="18"/>
    </row>
    <row r="13" spans="1:20" s="10" customFormat="1" ht="11.25" customHeight="1" x14ac:dyDescent="0.2">
      <c r="A13" s="38"/>
      <c r="B13" s="38"/>
      <c r="C13" s="92" t="s">
        <v>5</v>
      </c>
      <c r="D13" s="92"/>
      <c r="E13" s="39">
        <f>44717266/1000</f>
        <v>44717.266000000003</v>
      </c>
      <c r="F13" s="39">
        <f>46952593/1000</f>
        <v>46952.593000000001</v>
      </c>
      <c r="G13" s="39">
        <f>45231893/1000</f>
        <v>45231.892999999996</v>
      </c>
      <c r="H13" s="39">
        <f>53596820/1000</f>
        <v>53596.82</v>
      </c>
      <c r="I13" s="39">
        <f>52654184/1000</f>
        <v>52654.184000000001</v>
      </c>
      <c r="J13" s="39">
        <v>51611</v>
      </c>
      <c r="K13" s="39">
        <v>52138</v>
      </c>
      <c r="L13" s="39">
        <v>52952</v>
      </c>
      <c r="M13" s="39">
        <v>56025</v>
      </c>
      <c r="N13" s="39">
        <v>59251</v>
      </c>
      <c r="O13" s="39">
        <v>60329</v>
      </c>
      <c r="P13" s="36">
        <v>63169</v>
      </c>
      <c r="Q13" s="36">
        <v>66782.248000000007</v>
      </c>
      <c r="R13" s="40">
        <v>67775.259999999995</v>
      </c>
      <c r="S13" s="18"/>
      <c r="T13" s="18"/>
    </row>
    <row r="14" spans="1:20" s="10" customFormat="1" ht="11.25" customHeight="1" x14ac:dyDescent="0.2">
      <c r="A14" s="38"/>
      <c r="B14" s="38"/>
      <c r="C14" s="92" t="s">
        <v>6</v>
      </c>
      <c r="D14" s="92"/>
      <c r="E14" s="39">
        <f>53526437/1000</f>
        <v>53526.436999999998</v>
      </c>
      <c r="F14" s="39">
        <f>55534408/1000</f>
        <v>55534.408000000003</v>
      </c>
      <c r="G14" s="39">
        <f>56938643/1000</f>
        <v>56938.642999999996</v>
      </c>
      <c r="H14" s="39">
        <f>58306173/1000</f>
        <v>58306.173000000003</v>
      </c>
      <c r="I14" s="39">
        <f>59089643/1000</f>
        <v>59089.642999999996</v>
      </c>
      <c r="J14" s="39">
        <v>79165</v>
      </c>
      <c r="K14" s="39">
        <v>79559</v>
      </c>
      <c r="L14" s="39">
        <v>80351</v>
      </c>
      <c r="M14" s="39">
        <v>82465</v>
      </c>
      <c r="N14" s="39">
        <v>83423</v>
      </c>
      <c r="O14" s="39">
        <v>83480</v>
      </c>
      <c r="P14" s="36">
        <v>84365</v>
      </c>
      <c r="Q14" s="36">
        <v>84638.652000000002</v>
      </c>
      <c r="R14" s="40">
        <v>120560.07790999999</v>
      </c>
      <c r="S14" s="18"/>
      <c r="T14" s="18"/>
    </row>
    <row r="15" spans="1:20" s="10" customFormat="1" ht="11.25" customHeight="1" x14ac:dyDescent="0.2">
      <c r="A15" s="38"/>
      <c r="B15" s="38"/>
      <c r="C15" s="92" t="s">
        <v>7</v>
      </c>
      <c r="D15" s="92"/>
      <c r="E15" s="39">
        <f>3944500/1000</f>
        <v>3944.5</v>
      </c>
      <c r="F15" s="39">
        <f>4381352/1000</f>
        <v>4381.3519999999999</v>
      </c>
      <c r="G15" s="39">
        <f>4107531/1000</f>
        <v>4107.5309999999999</v>
      </c>
      <c r="H15" s="39">
        <f>3685265/1000</f>
        <v>3685.2649999999999</v>
      </c>
      <c r="I15" s="39">
        <f>3748230/1000</f>
        <v>3748.23</v>
      </c>
      <c r="J15" s="39">
        <v>4490</v>
      </c>
      <c r="K15" s="39">
        <v>10537</v>
      </c>
      <c r="L15" s="39">
        <v>5127</v>
      </c>
      <c r="M15" s="39">
        <v>4942</v>
      </c>
      <c r="N15" s="39">
        <v>3105</v>
      </c>
      <c r="O15" s="39">
        <v>3052</v>
      </c>
      <c r="P15" s="36">
        <v>3084</v>
      </c>
      <c r="Q15" s="36">
        <v>2681.8420000000001</v>
      </c>
      <c r="R15" s="40">
        <v>2586.0340699999997</v>
      </c>
      <c r="S15" s="18"/>
      <c r="T15" s="18"/>
    </row>
    <row r="16" spans="1:20" s="10" customFormat="1" ht="11.25" customHeight="1" x14ac:dyDescent="0.2">
      <c r="A16" s="38"/>
      <c r="B16" s="38"/>
      <c r="C16" s="92" t="s">
        <v>8</v>
      </c>
      <c r="D16" s="92"/>
      <c r="E16" s="39">
        <f>1275802/1000</f>
        <v>1275.8019999999999</v>
      </c>
      <c r="F16" s="39">
        <f>1733095/1000</f>
        <v>1733.095</v>
      </c>
      <c r="G16" s="39">
        <f>1473322/1000</f>
        <v>1473.3219999999999</v>
      </c>
      <c r="H16" s="39">
        <f>1568226/1000</f>
        <v>1568.2260000000001</v>
      </c>
      <c r="I16" s="39">
        <f>1173167/1000</f>
        <v>1173.1669999999999</v>
      </c>
      <c r="J16" s="39">
        <v>870</v>
      </c>
      <c r="K16" s="39">
        <v>1499</v>
      </c>
      <c r="L16" s="39">
        <v>1461</v>
      </c>
      <c r="M16" s="39">
        <v>1618</v>
      </c>
      <c r="N16" s="39">
        <v>1354</v>
      </c>
      <c r="O16" s="39">
        <v>1894</v>
      </c>
      <c r="P16" s="36">
        <v>1890</v>
      </c>
      <c r="Q16" s="36">
        <v>1592.258</v>
      </c>
      <c r="R16" s="40">
        <v>2147.9981299999999</v>
      </c>
      <c r="S16" s="18"/>
      <c r="T16" s="18"/>
    </row>
    <row r="17" spans="1:20" s="10" customFormat="1" ht="11.25" customHeight="1" x14ac:dyDescent="0.2">
      <c r="A17" s="38"/>
      <c r="B17" s="38"/>
      <c r="C17" s="92" t="s">
        <v>9</v>
      </c>
      <c r="D17" s="92"/>
      <c r="E17" s="39">
        <f>5912190/1000</f>
        <v>5912.19</v>
      </c>
      <c r="F17" s="39">
        <f>6184604/1000</f>
        <v>6184.6040000000003</v>
      </c>
      <c r="G17" s="39">
        <f>6255608/1000</f>
        <v>6255.6080000000002</v>
      </c>
      <c r="H17" s="39">
        <f>6030905/1000</f>
        <v>6030.9049999999997</v>
      </c>
      <c r="I17" s="39">
        <f>6375439/1000</f>
        <v>6375.4390000000003</v>
      </c>
      <c r="J17" s="39">
        <v>7096</v>
      </c>
      <c r="K17" s="39">
        <v>6692</v>
      </c>
      <c r="L17" s="39">
        <v>9151</v>
      </c>
      <c r="M17" s="39">
        <v>9384</v>
      </c>
      <c r="N17" s="39">
        <v>9555</v>
      </c>
      <c r="O17" s="39">
        <v>9696</v>
      </c>
      <c r="P17" s="36">
        <v>9369</v>
      </c>
      <c r="Q17" s="36">
        <v>10393.553</v>
      </c>
      <c r="R17" s="40">
        <v>9493.1893499999987</v>
      </c>
      <c r="S17" s="18"/>
      <c r="T17" s="18"/>
    </row>
    <row r="18" spans="1:20" s="10" customFormat="1" ht="11.25" customHeight="1" x14ac:dyDescent="0.2">
      <c r="A18" s="38"/>
      <c r="B18" s="41"/>
      <c r="C18" s="92" t="s">
        <v>10</v>
      </c>
      <c r="D18" s="92"/>
      <c r="E18" s="39">
        <f>2582818/1000</f>
        <v>2582.8180000000002</v>
      </c>
      <c r="F18" s="39">
        <f>2405997/1000</f>
        <v>2405.9969999999998</v>
      </c>
      <c r="G18" s="39">
        <f>3606997/1000</f>
        <v>3606.9969999999998</v>
      </c>
      <c r="H18" s="39">
        <f>3390828/1000</f>
        <v>3390.828</v>
      </c>
      <c r="I18" s="39">
        <f>3140683/1000</f>
        <v>3140.683</v>
      </c>
      <c r="J18" s="39">
        <v>3309</v>
      </c>
      <c r="K18" s="39">
        <v>3543</v>
      </c>
      <c r="L18" s="39">
        <v>4525</v>
      </c>
      <c r="M18" s="39">
        <v>3284</v>
      </c>
      <c r="N18" s="39">
        <v>4055</v>
      </c>
      <c r="O18" s="39">
        <v>3576</v>
      </c>
      <c r="P18" s="36">
        <v>3864</v>
      </c>
      <c r="Q18" s="36">
        <v>4216.5469999999996</v>
      </c>
      <c r="R18" s="40">
        <v>5217.2265900000002</v>
      </c>
      <c r="S18" s="18"/>
      <c r="T18" s="18"/>
    </row>
    <row r="19" spans="1:20" s="5" customFormat="1" ht="11.25" customHeight="1" x14ac:dyDescent="0.2">
      <c r="A19" s="42"/>
      <c r="B19" s="94" t="s">
        <v>11</v>
      </c>
      <c r="C19" s="94"/>
      <c r="D19" s="94"/>
      <c r="E19" s="32">
        <f t="shared" ref="E19:O19" si="2">SUM(E20:E29)</f>
        <v>204055.81200000001</v>
      </c>
      <c r="F19" s="32">
        <f t="shared" si="2"/>
        <v>231109.82800000004</v>
      </c>
      <c r="G19" s="43">
        <f t="shared" si="2"/>
        <v>240054.49800000002</v>
      </c>
      <c r="H19" s="32">
        <f t="shared" si="2"/>
        <v>242127.35700000002</v>
      </c>
      <c r="I19" s="32">
        <f t="shared" si="2"/>
        <v>243615.56600000005</v>
      </c>
      <c r="J19" s="32">
        <f t="shared" si="2"/>
        <v>240217</v>
      </c>
      <c r="K19" s="32">
        <f t="shared" si="2"/>
        <v>245764</v>
      </c>
      <c r="L19" s="32">
        <f t="shared" si="2"/>
        <v>236751</v>
      </c>
      <c r="M19" s="32">
        <f t="shared" si="2"/>
        <v>248876</v>
      </c>
      <c r="N19" s="32">
        <f t="shared" si="2"/>
        <v>269074</v>
      </c>
      <c r="O19" s="32">
        <f t="shared" si="2"/>
        <v>271804</v>
      </c>
      <c r="P19" s="32">
        <f>SUM(P20:P29)</f>
        <v>264787</v>
      </c>
      <c r="Q19" s="32">
        <f>SUM(Q20:Q29)</f>
        <v>262304.53899999999</v>
      </c>
      <c r="R19" s="30">
        <v>265162.47122999997</v>
      </c>
      <c r="S19" s="23"/>
      <c r="T19" s="23"/>
    </row>
    <row r="20" spans="1:20" s="10" customFormat="1" ht="11.25" customHeight="1" x14ac:dyDescent="0.2">
      <c r="A20" s="38"/>
      <c r="B20" s="44"/>
      <c r="C20" s="92" t="s">
        <v>12</v>
      </c>
      <c r="D20" s="92"/>
      <c r="E20" s="39">
        <f>14263990/1000</f>
        <v>14263.99</v>
      </c>
      <c r="F20" s="39">
        <f>15308898/1000</f>
        <v>15308.897999999999</v>
      </c>
      <c r="G20" s="39">
        <f>14935396/1000</f>
        <v>14935.396000000001</v>
      </c>
      <c r="H20" s="39">
        <f>15274286/1000</f>
        <v>15274.286</v>
      </c>
      <c r="I20" s="39">
        <f>14057124/1000</f>
        <v>14057.124</v>
      </c>
      <c r="J20" s="39">
        <v>13706</v>
      </c>
      <c r="K20" s="39">
        <v>13252</v>
      </c>
      <c r="L20" s="39">
        <v>13256</v>
      </c>
      <c r="M20" s="39">
        <v>13479</v>
      </c>
      <c r="N20" s="39">
        <v>14105</v>
      </c>
      <c r="O20" s="39">
        <v>12991</v>
      </c>
      <c r="P20" s="39">
        <v>12704</v>
      </c>
      <c r="Q20" s="39">
        <v>12483.263000000001</v>
      </c>
      <c r="R20" s="40">
        <v>12044.846439999999</v>
      </c>
      <c r="S20" s="18"/>
      <c r="T20" s="18"/>
    </row>
    <row r="21" spans="1:20" s="25" customFormat="1" ht="11.25" customHeight="1" x14ac:dyDescent="0.2">
      <c r="A21" s="33"/>
      <c r="B21" s="33"/>
      <c r="C21" s="92" t="s">
        <v>13</v>
      </c>
      <c r="D21" s="92"/>
      <c r="E21" s="36">
        <f>13139421/1000</f>
        <v>13139.421</v>
      </c>
      <c r="F21" s="36">
        <f>16180823/1000</f>
        <v>16180.823</v>
      </c>
      <c r="G21" s="36">
        <f>16303964/1000</f>
        <v>16303.964</v>
      </c>
      <c r="H21" s="36">
        <f>15229145/1000</f>
        <v>15229.145</v>
      </c>
      <c r="I21" s="36">
        <f>12934493/1000</f>
        <v>12934.493</v>
      </c>
      <c r="J21" s="36">
        <v>13733</v>
      </c>
      <c r="K21" s="36">
        <v>12342</v>
      </c>
      <c r="L21" s="36">
        <v>13892</v>
      </c>
      <c r="M21" s="36">
        <v>14601</v>
      </c>
      <c r="N21" s="36">
        <v>14856</v>
      </c>
      <c r="O21" s="36">
        <v>16313</v>
      </c>
      <c r="P21" s="39">
        <v>17225</v>
      </c>
      <c r="Q21" s="39">
        <v>15046.064</v>
      </c>
      <c r="R21" s="37">
        <v>13605.872509999999</v>
      </c>
      <c r="S21" s="24"/>
      <c r="T21" s="24"/>
    </row>
    <row r="22" spans="1:20" s="10" customFormat="1" ht="11.25" customHeight="1" x14ac:dyDescent="0.2">
      <c r="A22" s="38"/>
      <c r="B22" s="38"/>
      <c r="C22" s="92" t="s">
        <v>14</v>
      </c>
      <c r="D22" s="92"/>
      <c r="E22" s="39">
        <f>12256026/1000</f>
        <v>12256.026</v>
      </c>
      <c r="F22" s="39">
        <f>14214249/1000</f>
        <v>14214.249</v>
      </c>
      <c r="G22" s="39">
        <f>13469264/1000</f>
        <v>13469.263999999999</v>
      </c>
      <c r="H22" s="39">
        <f>14076964/1000</f>
        <v>14076.964</v>
      </c>
      <c r="I22" s="39">
        <f>14671196/1000</f>
        <v>14671.196</v>
      </c>
      <c r="J22" s="39">
        <v>14462</v>
      </c>
      <c r="K22" s="39">
        <v>16127</v>
      </c>
      <c r="L22" s="39">
        <v>16049</v>
      </c>
      <c r="M22" s="39">
        <v>16751</v>
      </c>
      <c r="N22" s="39">
        <v>16440</v>
      </c>
      <c r="O22" s="39">
        <v>16785</v>
      </c>
      <c r="P22" s="39">
        <v>17136</v>
      </c>
      <c r="Q22" s="39">
        <v>16935.996999999999</v>
      </c>
      <c r="R22" s="40">
        <v>18689.645210000002</v>
      </c>
      <c r="S22" s="18"/>
      <c r="T22" s="18"/>
    </row>
    <row r="23" spans="1:20" s="10" customFormat="1" ht="11.25" customHeight="1" x14ac:dyDescent="0.2">
      <c r="A23" s="38"/>
      <c r="B23" s="38"/>
      <c r="C23" s="92" t="s">
        <v>15</v>
      </c>
      <c r="D23" s="92"/>
      <c r="E23" s="39">
        <f>19720927/1000</f>
        <v>19720.927</v>
      </c>
      <c r="F23" s="39">
        <f>20716157/1000</f>
        <v>20716.156999999999</v>
      </c>
      <c r="G23" s="39">
        <f>19142638/1000</f>
        <v>19142.637999999999</v>
      </c>
      <c r="H23" s="39">
        <f>19658343/1000</f>
        <v>19658.343000000001</v>
      </c>
      <c r="I23" s="39">
        <f>20791808/1000</f>
        <v>20791.808000000001</v>
      </c>
      <c r="J23" s="39">
        <v>22097</v>
      </c>
      <c r="K23" s="39">
        <v>22000</v>
      </c>
      <c r="L23" s="39">
        <v>20129</v>
      </c>
      <c r="M23" s="39">
        <v>23629</v>
      </c>
      <c r="N23" s="39">
        <v>25744</v>
      </c>
      <c r="O23" s="39">
        <v>24317</v>
      </c>
      <c r="P23" s="39">
        <v>23399</v>
      </c>
      <c r="Q23" s="39">
        <v>22891.462</v>
      </c>
      <c r="R23" s="40">
        <v>22511.607479999999</v>
      </c>
      <c r="S23" s="18"/>
      <c r="T23" s="18"/>
    </row>
    <row r="24" spans="1:20" s="10" customFormat="1" ht="11.25" customHeight="1" x14ac:dyDescent="0.2">
      <c r="A24" s="38"/>
      <c r="B24" s="38"/>
      <c r="C24" s="92" t="s">
        <v>16</v>
      </c>
      <c r="D24" s="92"/>
      <c r="E24" s="39">
        <f>40904996/1000</f>
        <v>40904.995999999999</v>
      </c>
      <c r="F24" s="39">
        <f>49758187/1000</f>
        <v>49758.186999999998</v>
      </c>
      <c r="G24" s="39">
        <f>44867977/1000</f>
        <v>44867.976999999999</v>
      </c>
      <c r="H24" s="39">
        <f>40566112/1000</f>
        <v>40566.112000000001</v>
      </c>
      <c r="I24" s="39">
        <f>45338914/1000</f>
        <v>45338.913999999997</v>
      </c>
      <c r="J24" s="39">
        <v>39805</v>
      </c>
      <c r="K24" s="39">
        <v>46085</v>
      </c>
      <c r="L24" s="39">
        <v>40028</v>
      </c>
      <c r="M24" s="39">
        <v>46220</v>
      </c>
      <c r="N24" s="39">
        <v>54673</v>
      </c>
      <c r="O24" s="39">
        <v>52846</v>
      </c>
      <c r="P24" s="39">
        <v>47908</v>
      </c>
      <c r="Q24" s="39">
        <v>47832.006000000001</v>
      </c>
      <c r="R24" s="40">
        <v>51400.724900000001</v>
      </c>
      <c r="S24" s="18"/>
      <c r="T24" s="18"/>
    </row>
    <row r="25" spans="1:20" s="25" customFormat="1" ht="11.25" customHeight="1" x14ac:dyDescent="0.2">
      <c r="A25" s="33"/>
      <c r="B25" s="33"/>
      <c r="C25" s="92" t="s">
        <v>17</v>
      </c>
      <c r="D25" s="92"/>
      <c r="E25" s="36">
        <f>5606576/1000</f>
        <v>5606.576</v>
      </c>
      <c r="F25" s="36">
        <f>6010316/1000</f>
        <v>6010.3159999999998</v>
      </c>
      <c r="G25" s="36">
        <f>6527016/1000</f>
        <v>6527.0159999999996</v>
      </c>
      <c r="H25" s="36">
        <f>6629133/1000</f>
        <v>6629.1329999999998</v>
      </c>
      <c r="I25" s="36">
        <f>6247422/1000</f>
        <v>6247.4219999999996</v>
      </c>
      <c r="J25" s="36">
        <v>6182</v>
      </c>
      <c r="K25" s="36">
        <v>6150</v>
      </c>
      <c r="L25" s="36">
        <v>6427</v>
      </c>
      <c r="M25" s="36">
        <v>6960</v>
      </c>
      <c r="N25" s="36">
        <v>6973</v>
      </c>
      <c r="O25" s="36">
        <v>6295</v>
      </c>
      <c r="P25" s="39">
        <v>6402</v>
      </c>
      <c r="Q25" s="39">
        <v>6545.9709999999995</v>
      </c>
      <c r="R25" s="37">
        <v>6013.5320700000002</v>
      </c>
      <c r="S25" s="24"/>
      <c r="T25" s="24"/>
    </row>
    <row r="26" spans="1:20" s="10" customFormat="1" ht="11.25" customHeight="1" x14ac:dyDescent="0.2">
      <c r="A26" s="38"/>
      <c r="B26" s="38"/>
      <c r="C26" s="92" t="s">
        <v>18</v>
      </c>
      <c r="D26" s="92"/>
      <c r="E26" s="39">
        <f>13255541/1000</f>
        <v>13255.540999999999</v>
      </c>
      <c r="F26" s="39">
        <f>15623113/1000</f>
        <v>15623.112999999999</v>
      </c>
      <c r="G26" s="39">
        <f>16212772/1000</f>
        <v>16212.772000000001</v>
      </c>
      <c r="H26" s="39">
        <f>17414424/1000</f>
        <v>17414.423999999999</v>
      </c>
      <c r="I26" s="39">
        <f>23086531/1000</f>
        <v>23086.530999999999</v>
      </c>
      <c r="J26" s="39">
        <v>25261</v>
      </c>
      <c r="K26" s="39">
        <v>22069</v>
      </c>
      <c r="L26" s="39">
        <v>22127</v>
      </c>
      <c r="M26" s="39">
        <v>23801</v>
      </c>
      <c r="N26" s="39">
        <v>25385</v>
      </c>
      <c r="O26" s="39">
        <v>26536</v>
      </c>
      <c r="P26" s="39">
        <v>27780</v>
      </c>
      <c r="Q26" s="39">
        <v>26690.766</v>
      </c>
      <c r="R26" s="40">
        <v>28439.311269999998</v>
      </c>
      <c r="S26" s="18"/>
      <c r="T26" s="18"/>
    </row>
    <row r="27" spans="1:20" s="10" customFormat="1" ht="11.25" customHeight="1" x14ac:dyDescent="0.2">
      <c r="A27" s="38"/>
      <c r="B27" s="38"/>
      <c r="C27" s="92" t="s">
        <v>19</v>
      </c>
      <c r="D27" s="92"/>
      <c r="E27" s="39">
        <f>9000883/1000</f>
        <v>9000.8829999999998</v>
      </c>
      <c r="F27" s="39">
        <f>9661162/1000</f>
        <v>9661.1620000000003</v>
      </c>
      <c r="G27" s="39">
        <f>10207652/1000</f>
        <v>10207.652</v>
      </c>
      <c r="H27" s="39">
        <f>10171464/1000</f>
        <v>10171.464</v>
      </c>
      <c r="I27" s="39">
        <f>9135428/1000</f>
        <v>9135.4279999999999</v>
      </c>
      <c r="J27" s="39">
        <v>8900</v>
      </c>
      <c r="K27" s="39">
        <v>8131</v>
      </c>
      <c r="L27" s="39">
        <v>8325</v>
      </c>
      <c r="M27" s="39">
        <v>8596</v>
      </c>
      <c r="N27" s="39">
        <v>8399</v>
      </c>
      <c r="O27" s="39">
        <v>8667</v>
      </c>
      <c r="P27" s="39">
        <v>8596</v>
      </c>
      <c r="Q27" s="39">
        <v>8391.1540000000005</v>
      </c>
      <c r="R27" s="40">
        <v>8251.9974099999999</v>
      </c>
      <c r="S27" s="18"/>
      <c r="T27" s="18"/>
    </row>
    <row r="28" spans="1:20" s="10" customFormat="1" ht="11.25" customHeight="1" x14ac:dyDescent="0.2">
      <c r="A28" s="38"/>
      <c r="B28" s="38"/>
      <c r="C28" s="92" t="s">
        <v>20</v>
      </c>
      <c r="D28" s="92"/>
      <c r="E28" s="39">
        <f>73057927/1000</f>
        <v>73057.926999999996</v>
      </c>
      <c r="F28" s="39">
        <f>81318774/1000</f>
        <v>81318.774000000005</v>
      </c>
      <c r="G28" s="39">
        <f>95037570/1000</f>
        <v>95037.57</v>
      </c>
      <c r="H28" s="39">
        <f>99579252/1000</f>
        <v>99579.251999999993</v>
      </c>
      <c r="I28" s="39">
        <f>93127743/1000</f>
        <v>93127.743000000002</v>
      </c>
      <c r="J28" s="39">
        <v>90857</v>
      </c>
      <c r="K28" s="39">
        <v>94890</v>
      </c>
      <c r="L28" s="39">
        <v>93310</v>
      </c>
      <c r="M28" s="39">
        <v>91658</v>
      </c>
      <c r="N28" s="39">
        <v>99780</v>
      </c>
      <c r="O28" s="39">
        <v>102713</v>
      </c>
      <c r="P28" s="39">
        <v>99532</v>
      </c>
      <c r="Q28" s="39">
        <v>101850.061</v>
      </c>
      <c r="R28" s="40">
        <v>100507.4504</v>
      </c>
      <c r="S28" s="18"/>
      <c r="T28" s="18"/>
    </row>
    <row r="29" spans="1:20" s="10" customFormat="1" ht="11.25" customHeight="1" x14ac:dyDescent="0.2">
      <c r="A29" s="38"/>
      <c r="B29" s="41"/>
      <c r="C29" s="92" t="s">
        <v>21</v>
      </c>
      <c r="D29" s="92"/>
      <c r="E29" s="39">
        <f>2849525/1000</f>
        <v>2849.5250000000001</v>
      </c>
      <c r="F29" s="39">
        <f>2318149/1000</f>
        <v>2318.1489999999999</v>
      </c>
      <c r="G29" s="39">
        <f>3350249/1000</f>
        <v>3350.2489999999998</v>
      </c>
      <c r="H29" s="39">
        <f>3528234/1000</f>
        <v>3528.2339999999999</v>
      </c>
      <c r="I29" s="39">
        <f>4224907/1000</f>
        <v>4224.9070000000002</v>
      </c>
      <c r="J29" s="39">
        <v>5214</v>
      </c>
      <c r="K29" s="39">
        <v>4718</v>
      </c>
      <c r="L29" s="39">
        <v>3208</v>
      </c>
      <c r="M29" s="39">
        <v>3181</v>
      </c>
      <c r="N29" s="39">
        <v>2719</v>
      </c>
      <c r="O29" s="39">
        <v>4341</v>
      </c>
      <c r="P29" s="39">
        <v>4105</v>
      </c>
      <c r="Q29" s="39">
        <v>3637.7950000000001</v>
      </c>
      <c r="R29" s="40">
        <v>3697.4835400000002</v>
      </c>
      <c r="S29" s="18"/>
      <c r="T29" s="18"/>
    </row>
    <row r="30" spans="1:20" s="5" customFormat="1" ht="11.25" customHeight="1" x14ac:dyDescent="0.2">
      <c r="A30" s="42"/>
      <c r="B30" s="94" t="s">
        <v>22</v>
      </c>
      <c r="C30" s="94"/>
      <c r="D30" s="94"/>
      <c r="E30" s="32">
        <f t="shared" ref="E30:O30" si="3">SUM(E31:E34)</f>
        <v>45845.107000000004</v>
      </c>
      <c r="F30" s="32">
        <f t="shared" si="3"/>
        <v>41787.508999999991</v>
      </c>
      <c r="G30" s="32">
        <f t="shared" si="3"/>
        <v>42809.596999999994</v>
      </c>
      <c r="H30" s="32">
        <f t="shared" si="3"/>
        <v>46099.351999999999</v>
      </c>
      <c r="I30" s="32">
        <f t="shared" si="3"/>
        <v>53868.027999999998</v>
      </c>
      <c r="J30" s="32">
        <f t="shared" si="3"/>
        <v>61669</v>
      </c>
      <c r="K30" s="32">
        <f t="shared" si="3"/>
        <v>50745.326999999997</v>
      </c>
      <c r="L30" s="32">
        <f t="shared" si="3"/>
        <v>51977</v>
      </c>
      <c r="M30" s="32">
        <f t="shared" si="3"/>
        <v>51358.023800000003</v>
      </c>
      <c r="N30" s="32">
        <f t="shared" si="3"/>
        <v>45461.023800000003</v>
      </c>
      <c r="O30" s="32">
        <f t="shared" si="3"/>
        <v>47575</v>
      </c>
      <c r="P30" s="32">
        <f>SUM(P31:P34)</f>
        <v>48604</v>
      </c>
      <c r="Q30" s="32">
        <f>SUM(Q31:Q34)</f>
        <v>44464.97</v>
      </c>
      <c r="R30" s="30">
        <v>46436.28312</v>
      </c>
      <c r="S30" s="23"/>
      <c r="T30" s="23"/>
    </row>
    <row r="31" spans="1:20" s="10" customFormat="1" ht="11.25" customHeight="1" x14ac:dyDescent="0.2">
      <c r="A31" s="38"/>
      <c r="B31" s="44"/>
      <c r="C31" s="92" t="s">
        <v>23</v>
      </c>
      <c r="D31" s="92"/>
      <c r="E31" s="39">
        <f>0/1000</f>
        <v>0</v>
      </c>
      <c r="F31" s="39">
        <f>14778/1000</f>
        <v>14.778</v>
      </c>
      <c r="G31" s="39">
        <f>3009/1000</f>
        <v>3.0089999999999999</v>
      </c>
      <c r="H31" s="39">
        <f>0/1000</f>
        <v>0</v>
      </c>
      <c r="I31" s="39">
        <f>0/1000</f>
        <v>0</v>
      </c>
      <c r="J31" s="39">
        <f>0/1000</f>
        <v>0</v>
      </c>
      <c r="K31" s="39">
        <f>31327/1000</f>
        <v>31.327000000000002</v>
      </c>
      <c r="L31" s="39">
        <v>0</v>
      </c>
      <c r="M31" s="39">
        <f>23.8/1000</f>
        <v>2.3800000000000002E-2</v>
      </c>
      <c r="N31" s="39">
        <f>23.8/1000</f>
        <v>2.3800000000000002E-2</v>
      </c>
      <c r="O31" s="39">
        <v>0</v>
      </c>
      <c r="P31" s="39">
        <v>237</v>
      </c>
      <c r="Q31" s="39">
        <v>204.923</v>
      </c>
      <c r="R31" s="40">
        <v>168.76843</v>
      </c>
      <c r="S31" s="18"/>
      <c r="T31" s="18"/>
    </row>
    <row r="32" spans="1:20" s="25" customFormat="1" ht="11.25" customHeight="1" x14ac:dyDescent="0.2">
      <c r="A32" s="33"/>
      <c r="B32" s="33"/>
      <c r="C32" s="92" t="s">
        <v>24</v>
      </c>
      <c r="D32" s="92"/>
      <c r="E32" s="36">
        <f>24195312/1000</f>
        <v>24195.312000000002</v>
      </c>
      <c r="F32" s="36">
        <f>22362500/1000</f>
        <v>22362.5</v>
      </c>
      <c r="G32" s="36">
        <f>25718958/1000</f>
        <v>25718.957999999999</v>
      </c>
      <c r="H32" s="36">
        <f>31071180/1000</f>
        <v>31071.18</v>
      </c>
      <c r="I32" s="36">
        <f>40748611/1000</f>
        <v>40748.610999999997</v>
      </c>
      <c r="J32" s="36">
        <v>49168</v>
      </c>
      <c r="K32" s="36">
        <v>40633</v>
      </c>
      <c r="L32" s="36">
        <v>41500</v>
      </c>
      <c r="M32" s="36">
        <v>41238</v>
      </c>
      <c r="N32" s="36">
        <v>35561</v>
      </c>
      <c r="O32" s="36">
        <v>37175</v>
      </c>
      <c r="P32" s="36">
        <v>37225</v>
      </c>
      <c r="Q32" s="36">
        <v>34525.341999999997</v>
      </c>
      <c r="R32" s="37">
        <v>37694.862999999998</v>
      </c>
      <c r="S32" s="24"/>
      <c r="T32" s="24"/>
    </row>
    <row r="33" spans="1:20" s="10" customFormat="1" ht="11.25" customHeight="1" x14ac:dyDescent="0.2">
      <c r="A33" s="38"/>
      <c r="B33" s="38"/>
      <c r="C33" s="92" t="s">
        <v>25</v>
      </c>
      <c r="D33" s="92"/>
      <c r="E33" s="39">
        <f>17569834/1000</f>
        <v>17569.833999999999</v>
      </c>
      <c r="F33" s="39">
        <f>15503035/1000</f>
        <v>15503.035</v>
      </c>
      <c r="G33" s="39">
        <f>13174627/1000</f>
        <v>13174.627</v>
      </c>
      <c r="H33" s="39">
        <f>10149720/1000</f>
        <v>10149.719999999999</v>
      </c>
      <c r="I33" s="39">
        <f>8942843/1000</f>
        <v>8942.8430000000008</v>
      </c>
      <c r="J33" s="39">
        <v>6089</v>
      </c>
      <c r="K33" s="39">
        <v>4367</v>
      </c>
      <c r="L33" s="39">
        <v>4070</v>
      </c>
      <c r="M33" s="39">
        <v>3546</v>
      </c>
      <c r="N33" s="39">
        <v>3436</v>
      </c>
      <c r="O33" s="39">
        <v>3406</v>
      </c>
      <c r="P33" s="36">
        <v>3380</v>
      </c>
      <c r="Q33" s="36">
        <v>3386.4340000000002</v>
      </c>
      <c r="R33" s="40">
        <v>3382.36355</v>
      </c>
      <c r="S33" s="18"/>
      <c r="T33" s="18"/>
    </row>
    <row r="34" spans="1:20" s="10" customFormat="1" ht="11.25" customHeight="1" x14ac:dyDescent="0.2">
      <c r="A34" s="38"/>
      <c r="B34" s="41"/>
      <c r="C34" s="92" t="s">
        <v>26</v>
      </c>
      <c r="D34" s="92"/>
      <c r="E34" s="39">
        <f>4079961/1000</f>
        <v>4079.9609999999998</v>
      </c>
      <c r="F34" s="39">
        <f>3907196/1000</f>
        <v>3907.1959999999999</v>
      </c>
      <c r="G34" s="39">
        <f>3913003/1000</f>
        <v>3913.0030000000002</v>
      </c>
      <c r="H34" s="39">
        <f>4878452/1000</f>
        <v>4878.4520000000002</v>
      </c>
      <c r="I34" s="39">
        <f>4176574/1000</f>
        <v>4176.5739999999996</v>
      </c>
      <c r="J34" s="39">
        <v>6412</v>
      </c>
      <c r="K34" s="39">
        <v>5714</v>
      </c>
      <c r="L34" s="39">
        <v>6407</v>
      </c>
      <c r="M34" s="39">
        <v>6574</v>
      </c>
      <c r="N34" s="39">
        <v>6464</v>
      </c>
      <c r="O34" s="39">
        <v>6994</v>
      </c>
      <c r="P34" s="36">
        <v>7762</v>
      </c>
      <c r="Q34" s="36">
        <v>6348.2709999999997</v>
      </c>
      <c r="R34" s="40">
        <v>5190.2881399999997</v>
      </c>
      <c r="S34" s="18"/>
      <c r="T34" s="18"/>
    </row>
    <row r="35" spans="1:20" s="5" customFormat="1" ht="11.25" customHeight="1" x14ac:dyDescent="0.2">
      <c r="A35" s="42"/>
      <c r="B35" s="94" t="s">
        <v>27</v>
      </c>
      <c r="C35" s="94"/>
      <c r="D35" s="94"/>
      <c r="E35" s="32">
        <f>SUM(E36:E37)</f>
        <v>216922.40599999999</v>
      </c>
      <c r="F35" s="32">
        <f>SUM(F36:F37)</f>
        <v>222761.96899999998</v>
      </c>
      <c r="G35" s="32">
        <f>SUM(G36:G37)</f>
        <v>222809.99400000001</v>
      </c>
      <c r="H35" s="32">
        <f>SUM(H36:H37)</f>
        <v>229640.304</v>
      </c>
      <c r="I35" s="32">
        <f>SUM(I36:I37)</f>
        <v>227512.427</v>
      </c>
      <c r="J35" s="32">
        <f>SUM(J36:J38)</f>
        <v>503881</v>
      </c>
      <c r="K35" s="32">
        <f>SUM(K36:K37)</f>
        <v>165395</v>
      </c>
      <c r="L35" s="32">
        <f>SUM(L36:L37)</f>
        <v>196688</v>
      </c>
      <c r="M35" s="32">
        <f>SUM(M36:M38)</f>
        <v>221760</v>
      </c>
      <c r="N35" s="32">
        <f>SUM(N36:N38)</f>
        <v>182763</v>
      </c>
      <c r="O35" s="32">
        <f>SUM(O36:O38)</f>
        <v>191402</v>
      </c>
      <c r="P35" s="32">
        <f>SUM(P36:P38)</f>
        <v>204249</v>
      </c>
      <c r="Q35" s="32">
        <f>SUM(Q36:Q38)</f>
        <v>203100.01899999997</v>
      </c>
      <c r="R35" s="30">
        <v>194644.95153999998</v>
      </c>
      <c r="S35" s="23"/>
      <c r="T35" s="23"/>
    </row>
    <row r="36" spans="1:20" s="10" customFormat="1" ht="11.25" customHeight="1" x14ac:dyDescent="0.2">
      <c r="A36" s="38"/>
      <c r="B36" s="44"/>
      <c r="C36" s="92" t="s">
        <v>28</v>
      </c>
      <c r="D36" s="92"/>
      <c r="E36" s="39">
        <f>18186193/1000</f>
        <v>18186.192999999999</v>
      </c>
      <c r="F36" s="39">
        <f>21994726/1000</f>
        <v>21994.725999999999</v>
      </c>
      <c r="G36" s="39">
        <f>14666994/1000</f>
        <v>14666.994000000001</v>
      </c>
      <c r="H36" s="39">
        <f>20155717/1000</f>
        <v>20155.717000000001</v>
      </c>
      <c r="I36" s="39">
        <f>22761543/1000</f>
        <v>22761.543000000001</v>
      </c>
      <c r="J36" s="39">
        <v>21812</v>
      </c>
      <c r="K36" s="39">
        <v>13824</v>
      </c>
      <c r="L36" s="39">
        <v>20904</v>
      </c>
      <c r="M36" s="39">
        <v>13836</v>
      </c>
      <c r="N36" s="39">
        <v>15703</v>
      </c>
      <c r="O36" s="39">
        <v>12298</v>
      </c>
      <c r="P36" s="39">
        <v>15448</v>
      </c>
      <c r="Q36" s="39">
        <v>17407.794999999998</v>
      </c>
      <c r="R36" s="40">
        <v>14115.988880000001</v>
      </c>
      <c r="S36" s="18"/>
      <c r="T36" s="18"/>
    </row>
    <row r="37" spans="1:20" s="10" customFormat="1" ht="11.25" customHeight="1" x14ac:dyDescent="0.2">
      <c r="A37" s="38"/>
      <c r="B37" s="38"/>
      <c r="C37" s="92" t="s">
        <v>29</v>
      </c>
      <c r="D37" s="92"/>
      <c r="E37" s="39">
        <f>198736213/1000</f>
        <v>198736.21299999999</v>
      </c>
      <c r="F37" s="39">
        <f>200767243/1000</f>
        <v>200767.24299999999</v>
      </c>
      <c r="G37" s="39">
        <f>208143000/1000</f>
        <v>208143</v>
      </c>
      <c r="H37" s="39">
        <f>209484587/1000</f>
        <v>209484.587</v>
      </c>
      <c r="I37" s="39">
        <f>204750884/1000</f>
        <v>204750.88399999999</v>
      </c>
      <c r="J37" s="39">
        <v>202069</v>
      </c>
      <c r="K37" s="39">
        <v>151571</v>
      </c>
      <c r="L37" s="39">
        <v>175784</v>
      </c>
      <c r="M37" s="39">
        <v>161005</v>
      </c>
      <c r="N37" s="39">
        <v>167060</v>
      </c>
      <c r="O37" s="39">
        <v>179104</v>
      </c>
      <c r="P37" s="39">
        <v>188801</v>
      </c>
      <c r="Q37" s="39">
        <v>185647.22399999999</v>
      </c>
      <c r="R37" s="40">
        <v>180528.96265999999</v>
      </c>
      <c r="S37" s="18"/>
      <c r="T37" s="18"/>
    </row>
    <row r="38" spans="1:20" s="10" customFormat="1" ht="11.25" customHeight="1" x14ac:dyDescent="0.2">
      <c r="A38" s="38"/>
      <c r="B38" s="41"/>
      <c r="C38" s="92" t="s">
        <v>30</v>
      </c>
      <c r="D38" s="92"/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>
        <v>280000</v>
      </c>
      <c r="K38" s="39" t="s">
        <v>31</v>
      </c>
      <c r="L38" s="39" t="s">
        <v>31</v>
      </c>
      <c r="M38" s="39">
        <v>46919</v>
      </c>
      <c r="N38" s="39">
        <v>0</v>
      </c>
      <c r="O38" s="39">
        <v>0</v>
      </c>
      <c r="P38" s="39">
        <v>0</v>
      </c>
      <c r="Q38" s="39">
        <v>45</v>
      </c>
      <c r="R38" s="40">
        <v>0</v>
      </c>
      <c r="S38" s="18"/>
      <c r="T38" s="18"/>
    </row>
    <row r="39" spans="1:20" s="5" customFormat="1" ht="11.25" customHeight="1" x14ac:dyDescent="0.2">
      <c r="A39" s="42"/>
      <c r="B39" s="94" t="s">
        <v>32</v>
      </c>
      <c r="C39" s="94"/>
      <c r="D39" s="94"/>
      <c r="E39" s="32">
        <f t="shared" ref="E39:L39" si="4">SUM(E40:E41)</f>
        <v>60443.741999999998</v>
      </c>
      <c r="F39" s="32">
        <f t="shared" si="4"/>
        <v>70394.570999999996</v>
      </c>
      <c r="G39" s="32">
        <f t="shared" si="4"/>
        <v>67868.972000000009</v>
      </c>
      <c r="H39" s="32">
        <f t="shared" si="4"/>
        <v>85668.612999999998</v>
      </c>
      <c r="I39" s="32">
        <f t="shared" si="4"/>
        <v>96935.462</v>
      </c>
      <c r="J39" s="32">
        <f t="shared" si="4"/>
        <v>80462</v>
      </c>
      <c r="K39" s="32">
        <f t="shared" si="4"/>
        <v>69274</v>
      </c>
      <c r="L39" s="32">
        <f t="shared" si="4"/>
        <v>59217</v>
      </c>
      <c r="M39" s="32">
        <f>SUM(M40:M42)</f>
        <v>59506</v>
      </c>
      <c r="N39" s="32">
        <f>SUM(N40:N42)</f>
        <v>60246</v>
      </c>
      <c r="O39" s="32">
        <f>SUM(O40:O42)</f>
        <v>80244</v>
      </c>
      <c r="P39" s="32">
        <f>SUM(P40:P42)</f>
        <v>90649</v>
      </c>
      <c r="Q39" s="32">
        <f>SUM(Q40:Q42)</f>
        <v>96355.865999999995</v>
      </c>
      <c r="R39" s="30">
        <v>100814.49095000001</v>
      </c>
      <c r="S39" s="23"/>
      <c r="T39" s="23"/>
    </row>
    <row r="40" spans="1:20" s="10" customFormat="1" ht="11.25" customHeight="1" x14ac:dyDescent="0.2">
      <c r="A40" s="38"/>
      <c r="B40" s="44"/>
      <c r="C40" s="92" t="s">
        <v>33</v>
      </c>
      <c r="D40" s="92"/>
      <c r="E40" s="39">
        <f>24488970/1000</f>
        <v>24488.97</v>
      </c>
      <c r="F40" s="39">
        <f>25072951/1000</f>
        <v>25072.951000000001</v>
      </c>
      <c r="G40" s="39">
        <f>24387347/1000</f>
        <v>24387.347000000002</v>
      </c>
      <c r="H40" s="39">
        <f>22843288/1000</f>
        <v>22843.288</v>
      </c>
      <c r="I40" s="39">
        <f>22868534/1000</f>
        <v>22868.534</v>
      </c>
      <c r="J40" s="39">
        <v>26197</v>
      </c>
      <c r="K40" s="39">
        <v>17934</v>
      </c>
      <c r="L40" s="39">
        <v>11632</v>
      </c>
      <c r="M40" s="39">
        <v>5820</v>
      </c>
      <c r="N40" s="39">
        <v>5299</v>
      </c>
      <c r="O40" s="39">
        <v>21792</v>
      </c>
      <c r="P40" s="39">
        <v>29973</v>
      </c>
      <c r="Q40" s="39">
        <v>33109.737999999998</v>
      </c>
      <c r="R40" s="40">
        <v>29887.47495</v>
      </c>
      <c r="S40" s="18"/>
      <c r="T40" s="18"/>
    </row>
    <row r="41" spans="1:20" s="10" customFormat="1" ht="11.25" customHeight="1" x14ac:dyDescent="0.2">
      <c r="A41" s="38"/>
      <c r="B41" s="38"/>
      <c r="C41" s="92" t="s">
        <v>34</v>
      </c>
      <c r="D41" s="92"/>
      <c r="E41" s="39">
        <f>35954772/1000</f>
        <v>35954.771999999997</v>
      </c>
      <c r="F41" s="39">
        <f>45321620/1000</f>
        <v>45321.62</v>
      </c>
      <c r="G41" s="39">
        <f>43481625/1000</f>
        <v>43481.625</v>
      </c>
      <c r="H41" s="39">
        <f>62825325/1000</f>
        <v>62825.324999999997</v>
      </c>
      <c r="I41" s="39">
        <f>74066928/1000</f>
        <v>74066.928</v>
      </c>
      <c r="J41" s="39">
        <v>54265</v>
      </c>
      <c r="K41" s="39">
        <v>51340</v>
      </c>
      <c r="L41" s="39">
        <v>47585</v>
      </c>
      <c r="M41" s="39">
        <v>48500</v>
      </c>
      <c r="N41" s="39">
        <v>49824</v>
      </c>
      <c r="O41" s="39">
        <v>53322</v>
      </c>
      <c r="P41" s="39">
        <v>55549</v>
      </c>
      <c r="Q41" s="39">
        <v>58059.538</v>
      </c>
      <c r="R41" s="40">
        <v>58977.201999999997</v>
      </c>
      <c r="S41" s="18"/>
      <c r="T41" s="18"/>
    </row>
    <row r="42" spans="1:20" s="10" customFormat="1" ht="11.25" customHeight="1" x14ac:dyDescent="0.2">
      <c r="A42" s="38"/>
      <c r="B42" s="41"/>
      <c r="C42" s="92" t="s">
        <v>35</v>
      </c>
      <c r="D42" s="92"/>
      <c r="E42" s="39" t="s">
        <v>31</v>
      </c>
      <c r="F42" s="39" t="s">
        <v>31</v>
      </c>
      <c r="G42" s="39" t="s">
        <v>31</v>
      </c>
      <c r="H42" s="39" t="s">
        <v>31</v>
      </c>
      <c r="I42" s="39" t="s">
        <v>31</v>
      </c>
      <c r="J42" s="39" t="s">
        <v>31</v>
      </c>
      <c r="K42" s="39" t="s">
        <v>31</v>
      </c>
      <c r="L42" s="39" t="s">
        <v>31</v>
      </c>
      <c r="M42" s="39">
        <v>5186</v>
      </c>
      <c r="N42" s="39">
        <v>5123</v>
      </c>
      <c r="O42" s="39">
        <v>5130</v>
      </c>
      <c r="P42" s="39">
        <v>5127</v>
      </c>
      <c r="Q42" s="39">
        <v>5186.59</v>
      </c>
      <c r="R42" s="40">
        <v>11949.814</v>
      </c>
      <c r="S42" s="18"/>
      <c r="T42" s="18"/>
    </row>
    <row r="43" spans="1:20" s="5" customFormat="1" ht="11.25" customHeight="1" x14ac:dyDescent="0.2">
      <c r="A43" s="42"/>
      <c r="B43" s="94" t="s">
        <v>36</v>
      </c>
      <c r="C43" s="94"/>
      <c r="D43" s="94"/>
      <c r="E43" s="32">
        <f t="shared" ref="E43:O43" si="5">SUM(E44:E46)</f>
        <v>4009.6479999999997</v>
      </c>
      <c r="F43" s="32">
        <f t="shared" si="5"/>
        <v>3915.9059999999999</v>
      </c>
      <c r="G43" s="32">
        <f t="shared" si="5"/>
        <v>3626.3540000000003</v>
      </c>
      <c r="H43" s="32">
        <f t="shared" si="5"/>
        <v>5476.0730000000003</v>
      </c>
      <c r="I43" s="32">
        <f t="shared" si="5"/>
        <v>4731.8779999999997</v>
      </c>
      <c r="J43" s="32">
        <f t="shared" si="5"/>
        <v>4256</v>
      </c>
      <c r="K43" s="32">
        <f t="shared" si="5"/>
        <v>4250</v>
      </c>
      <c r="L43" s="32">
        <f t="shared" si="5"/>
        <v>4298</v>
      </c>
      <c r="M43" s="32">
        <f t="shared" si="5"/>
        <v>5823</v>
      </c>
      <c r="N43" s="32">
        <f t="shared" si="5"/>
        <v>5140</v>
      </c>
      <c r="O43" s="32">
        <f t="shared" si="5"/>
        <v>5619</v>
      </c>
      <c r="P43" s="32">
        <f>SUM(P44:P46)</f>
        <v>4845</v>
      </c>
      <c r="Q43" s="32">
        <f>SUM(Q44:Q46)</f>
        <v>4520.3</v>
      </c>
      <c r="R43" s="30">
        <v>6138.2674500000003</v>
      </c>
      <c r="S43" s="23"/>
      <c r="T43" s="23"/>
    </row>
    <row r="44" spans="1:20" s="10" customFormat="1" ht="11.25" customHeight="1" x14ac:dyDescent="0.2">
      <c r="A44" s="38"/>
      <c r="B44" s="44"/>
      <c r="C44" s="92" t="s">
        <v>37</v>
      </c>
      <c r="D44" s="92"/>
      <c r="E44" s="39">
        <f>1161926/1000</f>
        <v>1161.9259999999999</v>
      </c>
      <c r="F44" s="39">
        <f>1344676/1000</f>
        <v>1344.6759999999999</v>
      </c>
      <c r="G44" s="39">
        <f>1072758/1000</f>
        <v>1072.758</v>
      </c>
      <c r="H44" s="39">
        <f>3542918/1000</f>
        <v>3542.9180000000001</v>
      </c>
      <c r="I44" s="39">
        <f>2854469/1000</f>
        <v>2854.4690000000001</v>
      </c>
      <c r="J44" s="39">
        <v>2721</v>
      </c>
      <c r="K44" s="39">
        <v>2611</v>
      </c>
      <c r="L44" s="39">
        <v>2329</v>
      </c>
      <c r="M44" s="39">
        <v>2150</v>
      </c>
      <c r="N44" s="39">
        <v>2029</v>
      </c>
      <c r="O44" s="39">
        <v>3049</v>
      </c>
      <c r="P44" s="39">
        <v>2273</v>
      </c>
      <c r="Q44" s="39">
        <v>2329.498</v>
      </c>
      <c r="R44" s="40">
        <v>2970.0027</v>
      </c>
      <c r="S44" s="18"/>
      <c r="T44" s="18"/>
    </row>
    <row r="45" spans="1:20" s="10" customFormat="1" ht="11.25" customHeight="1" x14ac:dyDescent="0.2">
      <c r="A45" s="38"/>
      <c r="B45" s="38"/>
      <c r="C45" s="92" t="s">
        <v>38</v>
      </c>
      <c r="D45" s="92"/>
      <c r="E45" s="39">
        <f>2189557/1000</f>
        <v>2189.5569999999998</v>
      </c>
      <c r="F45" s="39">
        <f>1885257/1000</f>
        <v>1885.2570000000001</v>
      </c>
      <c r="G45" s="39">
        <f>1846539/1000</f>
        <v>1846.539</v>
      </c>
      <c r="H45" s="39">
        <f>1149475/1000</f>
        <v>1149.4749999999999</v>
      </c>
      <c r="I45" s="39">
        <f>1143521/1000</f>
        <v>1143.521</v>
      </c>
      <c r="J45" s="39">
        <v>820</v>
      </c>
      <c r="K45" s="39">
        <v>949</v>
      </c>
      <c r="L45" s="39">
        <v>1203</v>
      </c>
      <c r="M45" s="39">
        <v>2220</v>
      </c>
      <c r="N45" s="39">
        <v>1211</v>
      </c>
      <c r="O45" s="39">
        <v>1465</v>
      </c>
      <c r="P45" s="39">
        <v>940</v>
      </c>
      <c r="Q45" s="39">
        <v>930.87300000000005</v>
      </c>
      <c r="R45" s="40">
        <v>1907.7437500000001</v>
      </c>
      <c r="S45" s="18"/>
      <c r="T45" s="18"/>
    </row>
    <row r="46" spans="1:20" s="10" customFormat="1" ht="11.25" customHeight="1" x14ac:dyDescent="0.2">
      <c r="A46" s="38"/>
      <c r="B46" s="41"/>
      <c r="C46" s="92" t="s">
        <v>39</v>
      </c>
      <c r="D46" s="92"/>
      <c r="E46" s="39">
        <f>658165/1000</f>
        <v>658.16499999999996</v>
      </c>
      <c r="F46" s="39">
        <f>685973/1000</f>
        <v>685.97299999999996</v>
      </c>
      <c r="G46" s="39">
        <f>707057/1000</f>
        <v>707.05700000000002</v>
      </c>
      <c r="H46" s="39">
        <f>783680/1000</f>
        <v>783.68</v>
      </c>
      <c r="I46" s="39">
        <f>733888/1000</f>
        <v>733.88800000000003</v>
      </c>
      <c r="J46" s="39">
        <v>715</v>
      </c>
      <c r="K46" s="39">
        <v>690</v>
      </c>
      <c r="L46" s="39">
        <v>766</v>
      </c>
      <c r="M46" s="39">
        <v>1453</v>
      </c>
      <c r="N46" s="39">
        <v>1900</v>
      </c>
      <c r="O46" s="39">
        <v>1105</v>
      </c>
      <c r="P46" s="39">
        <v>1632</v>
      </c>
      <c r="Q46" s="39">
        <v>1259.9290000000001</v>
      </c>
      <c r="R46" s="40">
        <v>1260.521</v>
      </c>
      <c r="S46" s="18"/>
      <c r="T46" s="18"/>
    </row>
    <row r="47" spans="1:20" s="5" customFormat="1" ht="11.25" customHeight="1" x14ac:dyDescent="0.2">
      <c r="A47" s="42"/>
      <c r="B47" s="94" t="s">
        <v>40</v>
      </c>
      <c r="C47" s="94"/>
      <c r="D47" s="94"/>
      <c r="E47" s="32">
        <f t="shared" ref="E47:O47" si="6">SUM(E48:E55)</f>
        <v>919164.03399999999</v>
      </c>
      <c r="F47" s="32">
        <f t="shared" si="6"/>
        <v>937572.33900000004</v>
      </c>
      <c r="G47" s="32">
        <f t="shared" si="6"/>
        <v>1018488.8810000002</v>
      </c>
      <c r="H47" s="32">
        <f t="shared" si="6"/>
        <v>1080434.8659999999</v>
      </c>
      <c r="I47" s="32">
        <f t="shared" si="6"/>
        <v>1155641.703</v>
      </c>
      <c r="J47" s="32">
        <f t="shared" si="6"/>
        <v>1185578</v>
      </c>
      <c r="K47" s="32">
        <f t="shared" si="6"/>
        <v>1206320</v>
      </c>
      <c r="L47" s="32">
        <f t="shared" si="6"/>
        <v>1242000</v>
      </c>
      <c r="M47" s="32">
        <f t="shared" si="6"/>
        <v>1251909</v>
      </c>
      <c r="N47" s="32">
        <f t="shared" si="6"/>
        <v>1279825</v>
      </c>
      <c r="O47" s="32">
        <f t="shared" si="6"/>
        <v>1328040</v>
      </c>
      <c r="P47" s="32">
        <f>SUM(P48:P55)</f>
        <v>1377906</v>
      </c>
      <c r="Q47" s="32">
        <f>SUM(Q48:Q55)</f>
        <v>1520821.23</v>
      </c>
      <c r="R47" s="30">
        <v>1574365.9165399997</v>
      </c>
      <c r="S47" s="23"/>
      <c r="T47" s="23"/>
    </row>
    <row r="48" spans="1:20" s="10" customFormat="1" ht="11.25" customHeight="1" x14ac:dyDescent="0.2">
      <c r="A48" s="45"/>
      <c r="B48" s="46"/>
      <c r="C48" s="92" t="s">
        <v>41</v>
      </c>
      <c r="D48" s="92"/>
      <c r="E48" s="39">
        <f>98330172/1000</f>
        <v>98330.172000000006</v>
      </c>
      <c r="F48" s="39">
        <f>99022928/1000</f>
        <v>99022.928</v>
      </c>
      <c r="G48" s="39">
        <f>99840878/1000</f>
        <v>99840.877999999997</v>
      </c>
      <c r="H48" s="39">
        <f>120077658/1000</f>
        <v>120077.658</v>
      </c>
      <c r="I48" s="39">
        <f>115412460/1000</f>
        <v>115412.46</v>
      </c>
      <c r="J48" s="39">
        <v>129672</v>
      </c>
      <c r="K48" s="39">
        <v>129654</v>
      </c>
      <c r="L48" s="39">
        <v>133349</v>
      </c>
      <c r="M48" s="39">
        <v>29703</v>
      </c>
      <c r="N48" s="39">
        <v>9297</v>
      </c>
      <c r="O48" s="39">
        <v>8358</v>
      </c>
      <c r="P48" s="39">
        <v>9528</v>
      </c>
      <c r="Q48" s="39">
        <v>9637.1119999999992</v>
      </c>
      <c r="R48" s="40">
        <v>10327.41885</v>
      </c>
      <c r="S48" s="18"/>
      <c r="T48" s="18"/>
    </row>
    <row r="49" spans="1:20" s="10" customFormat="1" ht="11.25" customHeight="1" x14ac:dyDescent="0.2">
      <c r="A49" s="45"/>
      <c r="B49" s="45"/>
      <c r="C49" s="92" t="s">
        <v>42</v>
      </c>
      <c r="D49" s="92"/>
      <c r="E49" s="39">
        <f>30242285/1000</f>
        <v>30242.285</v>
      </c>
      <c r="F49" s="39">
        <f>29526093/1000</f>
        <v>29526.093000000001</v>
      </c>
      <c r="G49" s="39">
        <f>30998275/1000</f>
        <v>30998.275000000001</v>
      </c>
      <c r="H49" s="39">
        <f>32689650/1000</f>
        <v>32689.65</v>
      </c>
      <c r="I49" s="39">
        <f>34311704/1000</f>
        <v>34311.703999999998</v>
      </c>
      <c r="J49" s="39">
        <v>34539</v>
      </c>
      <c r="K49" s="39">
        <v>37901</v>
      </c>
      <c r="L49" s="39">
        <v>38746</v>
      </c>
      <c r="M49" s="39">
        <v>44467</v>
      </c>
      <c r="N49" s="39">
        <v>42874</v>
      </c>
      <c r="O49" s="39">
        <v>46721</v>
      </c>
      <c r="P49" s="39">
        <v>48267</v>
      </c>
      <c r="Q49" s="39">
        <v>50502.707000000002</v>
      </c>
      <c r="R49" s="40">
        <v>51167.31609</v>
      </c>
      <c r="S49" s="18"/>
      <c r="T49" s="18"/>
    </row>
    <row r="50" spans="1:20" s="10" customFormat="1" ht="11.25" customHeight="1" x14ac:dyDescent="0.2">
      <c r="A50" s="45"/>
      <c r="B50" s="45"/>
      <c r="C50" s="92" t="s">
        <v>43</v>
      </c>
      <c r="D50" s="92"/>
      <c r="E50" s="39">
        <f>48213524/1000</f>
        <v>48213.523999999998</v>
      </c>
      <c r="F50" s="39">
        <f>50319197/1000</f>
        <v>50319.197</v>
      </c>
      <c r="G50" s="39">
        <f>54311116/1000</f>
        <v>54311.116000000002</v>
      </c>
      <c r="H50" s="39">
        <f>60143491/1000</f>
        <v>60143.491000000002</v>
      </c>
      <c r="I50" s="39">
        <f>73273926/1000</f>
        <v>73273.926000000007</v>
      </c>
      <c r="J50" s="39">
        <v>76212</v>
      </c>
      <c r="K50" s="39">
        <v>74479</v>
      </c>
      <c r="L50" s="39">
        <v>76493</v>
      </c>
      <c r="M50" s="39">
        <v>95759</v>
      </c>
      <c r="N50" s="39">
        <v>113037</v>
      </c>
      <c r="O50" s="39">
        <v>98735</v>
      </c>
      <c r="P50" s="39">
        <v>95366</v>
      </c>
      <c r="Q50" s="39">
        <v>89408.728000000003</v>
      </c>
      <c r="R50" s="40">
        <v>88537.00649</v>
      </c>
      <c r="S50" s="18"/>
      <c r="T50" s="18"/>
    </row>
    <row r="51" spans="1:20" s="10" customFormat="1" ht="11.25" customHeight="1" x14ac:dyDescent="0.2">
      <c r="A51" s="45"/>
      <c r="B51" s="45"/>
      <c r="C51" s="92" t="s">
        <v>44</v>
      </c>
      <c r="D51" s="92"/>
      <c r="E51" s="39">
        <f>37124747/1000</f>
        <v>37124.747000000003</v>
      </c>
      <c r="F51" s="39">
        <f>40263505/1000</f>
        <v>40263.504999999997</v>
      </c>
      <c r="G51" s="39">
        <f>43898219/1000</f>
        <v>43898.218999999997</v>
      </c>
      <c r="H51" s="39">
        <f>45060357/1000</f>
        <v>45060.357000000004</v>
      </c>
      <c r="I51" s="39">
        <f>47531946/1000</f>
        <v>47531.946000000004</v>
      </c>
      <c r="J51" s="39">
        <v>50104</v>
      </c>
      <c r="K51" s="39">
        <v>49600</v>
      </c>
      <c r="L51" s="39">
        <v>56370</v>
      </c>
      <c r="M51" s="39">
        <v>61060</v>
      </c>
      <c r="N51" s="39">
        <v>63747</v>
      </c>
      <c r="O51" s="39">
        <v>76214</v>
      </c>
      <c r="P51" s="39">
        <v>76474</v>
      </c>
      <c r="Q51" s="39">
        <v>83433.718999999997</v>
      </c>
      <c r="R51" s="40">
        <v>82805.285250000001</v>
      </c>
      <c r="S51" s="18"/>
      <c r="T51" s="18"/>
    </row>
    <row r="52" spans="1:20" s="10" customFormat="1" ht="11.25" customHeight="1" x14ac:dyDescent="0.2">
      <c r="A52" s="45"/>
      <c r="B52" s="45"/>
      <c r="C52" s="92" t="s">
        <v>45</v>
      </c>
      <c r="D52" s="92"/>
      <c r="E52" s="39">
        <f>172861798/1000</f>
        <v>172861.79800000001</v>
      </c>
      <c r="F52" s="39">
        <f>179604143/1000</f>
        <v>179604.14300000001</v>
      </c>
      <c r="G52" s="39">
        <f>208669554/1000</f>
        <v>208669.554</v>
      </c>
      <c r="H52" s="39">
        <f>216272593/1000</f>
        <v>216272.59299999999</v>
      </c>
      <c r="I52" s="39">
        <f>223913062/1000</f>
        <v>223913.06200000001</v>
      </c>
      <c r="J52" s="39">
        <v>224188</v>
      </c>
      <c r="K52" s="39">
        <v>226122</v>
      </c>
      <c r="L52" s="39">
        <v>230360</v>
      </c>
      <c r="M52" s="39">
        <v>250063</v>
      </c>
      <c r="N52" s="39">
        <v>249609</v>
      </c>
      <c r="O52" s="39">
        <v>252486</v>
      </c>
      <c r="P52" s="39">
        <v>261873</v>
      </c>
      <c r="Q52" s="39">
        <v>378299.21899999998</v>
      </c>
      <c r="R52" s="40">
        <v>394381.66814999998</v>
      </c>
      <c r="S52" s="18"/>
      <c r="T52" s="18"/>
    </row>
    <row r="53" spans="1:20" s="10" customFormat="1" ht="11.25" customHeight="1" x14ac:dyDescent="0.2">
      <c r="A53" s="45"/>
      <c r="B53" s="45"/>
      <c r="C53" s="92" t="s">
        <v>46</v>
      </c>
      <c r="D53" s="92"/>
      <c r="E53" s="39">
        <f>261065562/1000</f>
        <v>261065.56200000001</v>
      </c>
      <c r="F53" s="39">
        <f>278483714/1000</f>
        <v>278483.71399999998</v>
      </c>
      <c r="G53" s="39">
        <f>304010406/1000</f>
        <v>304010.40600000002</v>
      </c>
      <c r="H53" s="39">
        <f>307368906/1000</f>
        <v>307368.90600000002</v>
      </c>
      <c r="I53" s="39">
        <f>337176888/1000</f>
        <v>337176.88799999998</v>
      </c>
      <c r="J53" s="39">
        <v>343757</v>
      </c>
      <c r="K53" s="39">
        <v>345867</v>
      </c>
      <c r="L53" s="39">
        <v>310635</v>
      </c>
      <c r="M53" s="39">
        <v>203899</v>
      </c>
      <c r="N53" s="39">
        <v>214312</v>
      </c>
      <c r="O53" s="39">
        <v>226559</v>
      </c>
      <c r="P53" s="39">
        <v>233990</v>
      </c>
      <c r="Q53" s="39">
        <v>246027.351</v>
      </c>
      <c r="R53" s="40">
        <v>245595.27432</v>
      </c>
      <c r="S53" s="18"/>
      <c r="T53" s="18"/>
    </row>
    <row r="54" spans="1:20" s="10" customFormat="1" ht="11.25" customHeight="1" x14ac:dyDescent="0.2">
      <c r="A54" s="45"/>
      <c r="B54" s="45"/>
      <c r="C54" s="92" t="s">
        <v>47</v>
      </c>
      <c r="D54" s="92"/>
      <c r="E54" s="39">
        <f>271075946/1000</f>
        <v>271075.946</v>
      </c>
      <c r="F54" s="39">
        <f>260102759/1000</f>
        <v>260102.75899999999</v>
      </c>
      <c r="G54" s="39">
        <f>276507388/1000</f>
        <v>276507.38799999998</v>
      </c>
      <c r="H54" s="39">
        <f>298570711/1000</f>
        <v>298570.71100000001</v>
      </c>
      <c r="I54" s="39">
        <f>323581217/1000</f>
        <v>323581.217</v>
      </c>
      <c r="J54" s="39">
        <v>326849</v>
      </c>
      <c r="K54" s="39">
        <v>342451</v>
      </c>
      <c r="L54" s="39">
        <v>395853</v>
      </c>
      <c r="M54" s="39">
        <v>566787</v>
      </c>
      <c r="N54" s="39">
        <v>586783</v>
      </c>
      <c r="O54" s="39">
        <v>618690</v>
      </c>
      <c r="P54" s="39">
        <v>652225</v>
      </c>
      <c r="Q54" s="39">
        <v>663263.51300000004</v>
      </c>
      <c r="R54" s="40">
        <v>701279.38454</v>
      </c>
      <c r="S54" s="18"/>
      <c r="T54" s="18"/>
    </row>
    <row r="55" spans="1:20" s="10" customFormat="1" ht="11.25" customHeight="1" x14ac:dyDescent="0.2">
      <c r="A55" s="45"/>
      <c r="B55" s="47"/>
      <c r="C55" s="92" t="s">
        <v>48</v>
      </c>
      <c r="D55" s="92"/>
      <c r="E55" s="39">
        <f>250000/1000</f>
        <v>250</v>
      </c>
      <c r="F55" s="39">
        <f>250000/1000</f>
        <v>250</v>
      </c>
      <c r="G55" s="39">
        <f>253045/1000</f>
        <v>253.04499999999999</v>
      </c>
      <c r="H55" s="39">
        <f>251500/1000</f>
        <v>251.5</v>
      </c>
      <c r="I55" s="39">
        <f>440500/1000</f>
        <v>440.5</v>
      </c>
      <c r="J55" s="39">
        <v>257</v>
      </c>
      <c r="K55" s="39">
        <v>246</v>
      </c>
      <c r="L55" s="39">
        <v>194</v>
      </c>
      <c r="M55" s="39">
        <v>171</v>
      </c>
      <c r="N55" s="39">
        <v>166</v>
      </c>
      <c r="O55" s="39">
        <v>277</v>
      </c>
      <c r="P55" s="39">
        <v>183</v>
      </c>
      <c r="Q55" s="39">
        <v>248.881</v>
      </c>
      <c r="R55" s="40">
        <v>272.56284999999997</v>
      </c>
      <c r="S55" s="18"/>
      <c r="T55" s="18"/>
    </row>
    <row r="56" spans="1:20" s="5" customFormat="1" ht="11.25" customHeight="1" x14ac:dyDescent="0.2">
      <c r="A56" s="42"/>
      <c r="B56" s="94" t="s">
        <v>49</v>
      </c>
      <c r="C56" s="94"/>
      <c r="D56" s="94"/>
      <c r="E56" s="32">
        <f t="shared" ref="E56:O56" si="7">SUM(E57:E61)</f>
        <v>47168.535000000003</v>
      </c>
      <c r="F56" s="32">
        <f t="shared" si="7"/>
        <v>52948.33</v>
      </c>
      <c r="G56" s="32">
        <f t="shared" si="7"/>
        <v>56078.046000000002</v>
      </c>
      <c r="H56" s="32">
        <f t="shared" si="7"/>
        <v>63930.487000000001</v>
      </c>
      <c r="I56" s="32">
        <f t="shared" si="7"/>
        <v>64512.389000000003</v>
      </c>
      <c r="J56" s="32">
        <f t="shared" si="7"/>
        <v>67545</v>
      </c>
      <c r="K56" s="32">
        <f t="shared" si="7"/>
        <v>68442</v>
      </c>
      <c r="L56" s="32">
        <f t="shared" si="7"/>
        <v>67844</v>
      </c>
      <c r="M56" s="32">
        <f t="shared" si="7"/>
        <v>75110</v>
      </c>
      <c r="N56" s="32">
        <f t="shared" si="7"/>
        <v>85179</v>
      </c>
      <c r="O56" s="32">
        <f t="shared" si="7"/>
        <v>85197</v>
      </c>
      <c r="P56" s="32">
        <f>SUM(P57:P61)</f>
        <v>84499</v>
      </c>
      <c r="Q56" s="32">
        <f>SUM(Q57:Q61)</f>
        <v>73013.935000000012</v>
      </c>
      <c r="R56" s="30">
        <v>117360.02494000002</v>
      </c>
      <c r="S56" s="23"/>
      <c r="T56" s="23"/>
    </row>
    <row r="57" spans="1:20" s="25" customFormat="1" ht="11.25" customHeight="1" x14ac:dyDescent="0.2">
      <c r="A57" s="48"/>
      <c r="B57" s="49"/>
      <c r="C57" s="92" t="s">
        <v>50</v>
      </c>
      <c r="D57" s="92"/>
      <c r="E57" s="36">
        <f>694800/1000</f>
        <v>694.8</v>
      </c>
      <c r="F57" s="36">
        <f>826907/1000</f>
        <v>826.90700000000004</v>
      </c>
      <c r="G57" s="36">
        <f>1465558/1000</f>
        <v>1465.558</v>
      </c>
      <c r="H57" s="36">
        <f>1344900/1000</f>
        <v>1344.9</v>
      </c>
      <c r="I57" s="36">
        <f>2033850/1000</f>
        <v>2033.85</v>
      </c>
      <c r="J57" s="36">
        <v>2007</v>
      </c>
      <c r="K57" s="36">
        <v>2789</v>
      </c>
      <c r="L57" s="36">
        <v>2508</v>
      </c>
      <c r="M57" s="36">
        <v>2188</v>
      </c>
      <c r="N57" s="36">
        <v>1352</v>
      </c>
      <c r="O57" s="36">
        <v>1306</v>
      </c>
      <c r="P57" s="36">
        <v>1578</v>
      </c>
      <c r="Q57" s="36">
        <v>1764.575</v>
      </c>
      <c r="R57" s="37">
        <v>1584.0118500000001</v>
      </c>
      <c r="S57" s="24"/>
      <c r="T57" s="24"/>
    </row>
    <row r="58" spans="1:20" s="10" customFormat="1" ht="11.25" customHeight="1" x14ac:dyDescent="0.2">
      <c r="A58" s="45"/>
      <c r="B58" s="45"/>
      <c r="C58" s="92" t="s">
        <v>51</v>
      </c>
      <c r="D58" s="92"/>
      <c r="E58" s="39">
        <f>5145011/1000</f>
        <v>5145.0110000000004</v>
      </c>
      <c r="F58" s="39">
        <f>10335280/1000</f>
        <v>10335.280000000001</v>
      </c>
      <c r="G58" s="39">
        <f>9975974/1000</f>
        <v>9975.9740000000002</v>
      </c>
      <c r="H58" s="39">
        <f>12107127/1000</f>
        <v>12107.127</v>
      </c>
      <c r="I58" s="39">
        <f>10354594/1000</f>
        <v>10354.593999999999</v>
      </c>
      <c r="J58" s="39">
        <v>13287</v>
      </c>
      <c r="K58" s="39">
        <v>13550</v>
      </c>
      <c r="L58" s="39">
        <v>13868</v>
      </c>
      <c r="M58" s="39">
        <v>18830</v>
      </c>
      <c r="N58" s="39">
        <v>19581</v>
      </c>
      <c r="O58" s="39">
        <v>20507</v>
      </c>
      <c r="P58" s="36">
        <v>21660</v>
      </c>
      <c r="Q58" s="36">
        <v>24507.411</v>
      </c>
      <c r="R58" s="40">
        <v>25409.634999999998</v>
      </c>
      <c r="S58" s="18"/>
      <c r="T58" s="18"/>
    </row>
    <row r="59" spans="1:20" s="10" customFormat="1" ht="11.25" customHeight="1" x14ac:dyDescent="0.2">
      <c r="A59" s="45"/>
      <c r="B59" s="45"/>
      <c r="C59" s="92" t="s">
        <v>52</v>
      </c>
      <c r="D59" s="92"/>
      <c r="E59" s="39" t="s">
        <v>31</v>
      </c>
      <c r="F59" s="39" t="s">
        <v>31</v>
      </c>
      <c r="G59" s="39" t="s">
        <v>31</v>
      </c>
      <c r="H59" s="39" t="s">
        <v>31</v>
      </c>
      <c r="I59" s="39" t="s">
        <v>31</v>
      </c>
      <c r="J59" s="39">
        <v>1177</v>
      </c>
      <c r="K59" s="39">
        <v>1217</v>
      </c>
      <c r="L59" s="39">
        <v>1269</v>
      </c>
      <c r="M59" s="39">
        <v>2103</v>
      </c>
      <c r="N59" s="39">
        <v>12126</v>
      </c>
      <c r="O59" s="39">
        <v>12151</v>
      </c>
      <c r="P59" s="36">
        <v>13836</v>
      </c>
      <c r="Q59" s="36">
        <v>0</v>
      </c>
      <c r="R59" s="40">
        <v>0</v>
      </c>
      <c r="S59" s="18"/>
      <c r="T59" s="18"/>
    </row>
    <row r="60" spans="1:20" s="10" customFormat="1" ht="11.25" customHeight="1" x14ac:dyDescent="0.2">
      <c r="A60" s="45"/>
      <c r="B60" s="45"/>
      <c r="C60" s="92" t="s">
        <v>53</v>
      </c>
      <c r="D60" s="92"/>
      <c r="E60" s="39">
        <f>39472940/1000</f>
        <v>39472.94</v>
      </c>
      <c r="F60" s="39">
        <f>40115408/1000</f>
        <v>40115.408000000003</v>
      </c>
      <c r="G60" s="39">
        <f>42902014/1000</f>
        <v>42902.014000000003</v>
      </c>
      <c r="H60" s="39">
        <f>44604473/1000</f>
        <v>44604.472999999998</v>
      </c>
      <c r="I60" s="39">
        <f>47745784/1000</f>
        <v>47745.784</v>
      </c>
      <c r="J60" s="39">
        <v>47211</v>
      </c>
      <c r="K60" s="39">
        <v>47551</v>
      </c>
      <c r="L60" s="39">
        <v>46067</v>
      </c>
      <c r="M60" s="39">
        <v>47758</v>
      </c>
      <c r="N60" s="39">
        <v>47530</v>
      </c>
      <c r="O60" s="39">
        <v>46610</v>
      </c>
      <c r="P60" s="36">
        <v>44599</v>
      </c>
      <c r="Q60" s="36">
        <v>45372.497000000003</v>
      </c>
      <c r="R60" s="40">
        <v>89031.847389999995</v>
      </c>
      <c r="S60" s="18"/>
      <c r="T60" s="18"/>
    </row>
    <row r="61" spans="1:20" s="10" customFormat="1" ht="11.25" customHeight="1" x14ac:dyDescent="0.2">
      <c r="A61" s="45"/>
      <c r="B61" s="47"/>
      <c r="C61" s="92" t="s">
        <v>54</v>
      </c>
      <c r="D61" s="92"/>
      <c r="E61" s="39">
        <f>1855784/1000</f>
        <v>1855.7840000000001</v>
      </c>
      <c r="F61" s="39">
        <f>1670735/1000</f>
        <v>1670.7349999999999</v>
      </c>
      <c r="G61" s="39">
        <f>1734500/1000</f>
        <v>1734.5</v>
      </c>
      <c r="H61" s="39">
        <f>5873987/1000</f>
        <v>5873.9870000000001</v>
      </c>
      <c r="I61" s="39">
        <f>4378161/1000</f>
        <v>4378.1610000000001</v>
      </c>
      <c r="J61" s="39">
        <v>3863</v>
      </c>
      <c r="K61" s="39">
        <v>3335</v>
      </c>
      <c r="L61" s="39">
        <v>4132</v>
      </c>
      <c r="M61" s="39">
        <v>4231</v>
      </c>
      <c r="N61" s="39">
        <v>4590</v>
      </c>
      <c r="O61" s="39">
        <v>4623</v>
      </c>
      <c r="P61" s="36">
        <v>2826</v>
      </c>
      <c r="Q61" s="36">
        <v>1369.452</v>
      </c>
      <c r="R61" s="40">
        <v>1334.5307</v>
      </c>
      <c r="S61" s="18"/>
      <c r="T61" s="18"/>
    </row>
    <row r="62" spans="1:20" s="5" customFormat="1" ht="11.25" customHeight="1" x14ac:dyDescent="0.2">
      <c r="A62" s="42"/>
      <c r="B62" s="94" t="s">
        <v>55</v>
      </c>
      <c r="C62" s="94"/>
      <c r="D62" s="94"/>
      <c r="E62" s="32">
        <f>SUM(E63)</f>
        <v>8454.4879999999994</v>
      </c>
      <c r="F62" s="32">
        <f>SUM(F63)</f>
        <v>5136.1409999999996</v>
      </c>
      <c r="G62" s="32">
        <f>SUM(G63)</f>
        <v>12334.38</v>
      </c>
      <c r="H62" s="32">
        <f>SUM(H63)</f>
        <v>16560.446</v>
      </c>
      <c r="I62" s="32">
        <f>SUM(I63)</f>
        <v>6513.8440000000001</v>
      </c>
      <c r="J62" s="32">
        <v>8346</v>
      </c>
      <c r="K62" s="32">
        <v>12319</v>
      </c>
      <c r="L62" s="32">
        <v>16072</v>
      </c>
      <c r="M62" s="32">
        <v>22532</v>
      </c>
      <c r="N62" s="32">
        <v>17212</v>
      </c>
      <c r="O62" s="32">
        <v>15285</v>
      </c>
      <c r="P62" s="32">
        <v>16688</v>
      </c>
      <c r="Q62" s="32">
        <f>SUM(Q63)</f>
        <v>13175.627</v>
      </c>
      <c r="R62" s="30">
        <v>15390.91741</v>
      </c>
      <c r="S62" s="23"/>
      <c r="T62" s="23"/>
    </row>
    <row r="63" spans="1:20" s="10" customFormat="1" ht="11.25" customHeight="1" x14ac:dyDescent="0.2">
      <c r="A63" s="45"/>
      <c r="B63" s="35"/>
      <c r="C63" s="92" t="s">
        <v>56</v>
      </c>
      <c r="D63" s="92"/>
      <c r="E63" s="39">
        <f>8454488/1000</f>
        <v>8454.4879999999994</v>
      </c>
      <c r="F63" s="39">
        <f>5136141/1000</f>
        <v>5136.1409999999996</v>
      </c>
      <c r="G63" s="39">
        <f>12334380/1000</f>
        <v>12334.38</v>
      </c>
      <c r="H63" s="39">
        <f>16560446/1000</f>
        <v>16560.446</v>
      </c>
      <c r="I63" s="39">
        <f>6513844/1000</f>
        <v>6513.8440000000001</v>
      </c>
      <c r="J63" s="39">
        <v>8346</v>
      </c>
      <c r="K63" s="39">
        <v>12319</v>
      </c>
      <c r="L63" s="39">
        <v>16072</v>
      </c>
      <c r="M63" s="39">
        <v>22532</v>
      </c>
      <c r="N63" s="39">
        <v>17212</v>
      </c>
      <c r="O63" s="39">
        <v>15285</v>
      </c>
      <c r="P63" s="39">
        <v>16688</v>
      </c>
      <c r="Q63" s="39">
        <v>13175.627</v>
      </c>
      <c r="R63" s="40">
        <v>15390.91741</v>
      </c>
      <c r="S63" s="18"/>
      <c r="T63" s="18"/>
    </row>
    <row r="64" spans="1:20" s="5" customFormat="1" ht="11.25" customHeight="1" x14ac:dyDescent="0.2">
      <c r="A64" s="42"/>
      <c r="B64" s="94" t="s">
        <v>57</v>
      </c>
      <c r="C64" s="94"/>
      <c r="D64" s="94"/>
      <c r="E64" s="32">
        <f t="shared" ref="E64:O64" si="8">SUM(E65:E73)</f>
        <v>63459.494000000006</v>
      </c>
      <c r="F64" s="32">
        <f t="shared" si="8"/>
        <v>65362.02199999999</v>
      </c>
      <c r="G64" s="32">
        <f t="shared" si="8"/>
        <v>134768.976</v>
      </c>
      <c r="H64" s="32">
        <f t="shared" si="8"/>
        <v>151289.29</v>
      </c>
      <c r="I64" s="32">
        <f t="shared" si="8"/>
        <v>150433.00700000001</v>
      </c>
      <c r="J64" s="32">
        <f t="shared" si="8"/>
        <v>155447</v>
      </c>
      <c r="K64" s="32">
        <f t="shared" si="8"/>
        <v>160059</v>
      </c>
      <c r="L64" s="32">
        <f t="shared" si="8"/>
        <v>165347</v>
      </c>
      <c r="M64" s="32">
        <f t="shared" si="8"/>
        <v>177745</v>
      </c>
      <c r="N64" s="32">
        <f t="shared" si="8"/>
        <v>179124</v>
      </c>
      <c r="O64" s="32">
        <f t="shared" si="8"/>
        <v>184860</v>
      </c>
      <c r="P64" s="32">
        <f>SUM(P65:P73)</f>
        <v>191879</v>
      </c>
      <c r="Q64" s="32">
        <f>SUM(Q65:Q73)</f>
        <v>198149.75099999999</v>
      </c>
      <c r="R64" s="30">
        <v>196984.56678999998</v>
      </c>
      <c r="S64" s="23"/>
      <c r="T64" s="23"/>
    </row>
    <row r="65" spans="1:20" s="10" customFormat="1" ht="11.25" customHeight="1" x14ac:dyDescent="0.2">
      <c r="A65" s="45"/>
      <c r="B65" s="46"/>
      <c r="C65" s="92" t="s">
        <v>58</v>
      </c>
      <c r="D65" s="92"/>
      <c r="E65" s="39">
        <f>10815865/1000</f>
        <v>10815.865</v>
      </c>
      <c r="F65" s="39">
        <f>11332644/1000</f>
        <v>11332.644</v>
      </c>
      <c r="G65" s="39">
        <f>14536969/1000</f>
        <v>14536.968999999999</v>
      </c>
      <c r="H65" s="39">
        <f>13264238/1000</f>
        <v>13264.237999999999</v>
      </c>
      <c r="I65" s="39">
        <f>13113112/1000</f>
        <v>13113.111999999999</v>
      </c>
      <c r="J65" s="39">
        <v>12728</v>
      </c>
      <c r="K65" s="39">
        <v>11614</v>
      </c>
      <c r="L65" s="39">
        <v>12317</v>
      </c>
      <c r="M65" s="39">
        <v>13536</v>
      </c>
      <c r="N65" s="39">
        <v>12159</v>
      </c>
      <c r="O65" s="39">
        <v>12409</v>
      </c>
      <c r="P65" s="39">
        <v>13926</v>
      </c>
      <c r="Q65" s="39">
        <v>13595.683999999999</v>
      </c>
      <c r="R65" s="40">
        <v>12776.46117</v>
      </c>
      <c r="S65" s="18"/>
      <c r="T65" s="18"/>
    </row>
    <row r="66" spans="1:20" s="10" customFormat="1" ht="11.25" customHeight="1" x14ac:dyDescent="0.2">
      <c r="A66" s="45"/>
      <c r="B66" s="45"/>
      <c r="C66" s="92" t="s">
        <v>59</v>
      </c>
      <c r="D66" s="92"/>
      <c r="E66" s="39">
        <f>1857208/1000</f>
        <v>1857.2080000000001</v>
      </c>
      <c r="F66" s="39">
        <f>2200674/1000</f>
        <v>2200.674</v>
      </c>
      <c r="G66" s="39">
        <f>9980888/1000</f>
        <v>9980.8880000000008</v>
      </c>
      <c r="H66" s="39">
        <f>9956359/1000</f>
        <v>9956.3590000000004</v>
      </c>
      <c r="I66" s="39">
        <f>10168608/1000</f>
        <v>10168.608</v>
      </c>
      <c r="J66" s="39">
        <v>10541</v>
      </c>
      <c r="K66" s="39">
        <v>10441</v>
      </c>
      <c r="L66" s="39">
        <v>10494</v>
      </c>
      <c r="M66" s="39">
        <v>10390</v>
      </c>
      <c r="N66" s="39">
        <v>10229</v>
      </c>
      <c r="O66" s="39">
        <v>10124</v>
      </c>
      <c r="P66" s="39">
        <v>10614</v>
      </c>
      <c r="Q66" s="39">
        <v>10599.397000000001</v>
      </c>
      <c r="R66" s="40">
        <v>10505.870949999999</v>
      </c>
      <c r="S66" s="18"/>
      <c r="T66" s="18"/>
    </row>
    <row r="67" spans="1:20" s="10" customFormat="1" ht="11.25" customHeight="1" x14ac:dyDescent="0.2">
      <c r="A67" s="45"/>
      <c r="B67" s="45"/>
      <c r="C67" s="92" t="s">
        <v>60</v>
      </c>
      <c r="D67" s="92"/>
      <c r="E67" s="39">
        <f>14267254/1000</f>
        <v>14267.254000000001</v>
      </c>
      <c r="F67" s="39">
        <f>14858340/1000</f>
        <v>14858.34</v>
      </c>
      <c r="G67" s="39">
        <f>71225260/1000</f>
        <v>71225.259999999995</v>
      </c>
      <c r="H67" s="39">
        <f>71874797/1000</f>
        <v>71874.797000000006</v>
      </c>
      <c r="I67" s="39">
        <f>73377119/1000</f>
        <v>73377.119000000006</v>
      </c>
      <c r="J67" s="39">
        <v>81480</v>
      </c>
      <c r="K67" s="39">
        <v>82217</v>
      </c>
      <c r="L67" s="39">
        <v>84315</v>
      </c>
      <c r="M67" s="39">
        <v>84007</v>
      </c>
      <c r="N67" s="39">
        <v>83873</v>
      </c>
      <c r="O67" s="39">
        <v>82933</v>
      </c>
      <c r="P67" s="39">
        <v>87793</v>
      </c>
      <c r="Q67" s="39">
        <v>93372.482000000004</v>
      </c>
      <c r="R67" s="40">
        <v>92625.977050000001</v>
      </c>
      <c r="S67" s="18"/>
      <c r="T67" s="18"/>
    </row>
    <row r="68" spans="1:20" s="10" customFormat="1" ht="11.25" customHeight="1" x14ac:dyDescent="0.2">
      <c r="A68" s="45"/>
      <c r="B68" s="45"/>
      <c r="C68" s="92" t="s">
        <v>61</v>
      </c>
      <c r="D68" s="92"/>
      <c r="E68" s="39">
        <f>1523096/1000</f>
        <v>1523.096</v>
      </c>
      <c r="F68" s="39">
        <f>1906459/1000</f>
        <v>1906.4590000000001</v>
      </c>
      <c r="G68" s="39">
        <f>1927771/1000</f>
        <v>1927.771</v>
      </c>
      <c r="H68" s="39">
        <f>2105065/1000</f>
        <v>2105.0650000000001</v>
      </c>
      <c r="I68" s="39">
        <f>2093032/1000</f>
        <v>2093.0320000000002</v>
      </c>
      <c r="J68" s="39">
        <v>1947</v>
      </c>
      <c r="K68" s="39">
        <v>2188</v>
      </c>
      <c r="L68" s="39">
        <v>2712</v>
      </c>
      <c r="M68" s="39">
        <v>3707</v>
      </c>
      <c r="N68" s="39">
        <v>3539</v>
      </c>
      <c r="O68" s="39">
        <v>4501</v>
      </c>
      <c r="P68" s="39">
        <v>5879</v>
      </c>
      <c r="Q68" s="39">
        <v>5885.6850000000004</v>
      </c>
      <c r="R68" s="40">
        <v>5528.3908099999999</v>
      </c>
      <c r="S68" s="18"/>
      <c r="T68" s="18"/>
    </row>
    <row r="69" spans="1:20" s="10" customFormat="1" ht="11.25" customHeight="1" x14ac:dyDescent="0.2">
      <c r="A69" s="45"/>
      <c r="B69" s="45"/>
      <c r="C69" s="92" t="s">
        <v>62</v>
      </c>
      <c r="D69" s="92"/>
      <c r="E69" s="39">
        <f>11491493/1000</f>
        <v>11491.493</v>
      </c>
      <c r="F69" s="39">
        <f>12955699/1000</f>
        <v>12955.699000000001</v>
      </c>
      <c r="G69" s="39">
        <f>9959074/1000</f>
        <v>9959.0740000000005</v>
      </c>
      <c r="H69" s="39">
        <f>9830616/1000</f>
        <v>9830.616</v>
      </c>
      <c r="I69" s="39">
        <f>8157270/1000</f>
        <v>8157.27</v>
      </c>
      <c r="J69" s="39">
        <v>8277</v>
      </c>
      <c r="K69" s="39">
        <v>8266</v>
      </c>
      <c r="L69" s="39">
        <v>8550</v>
      </c>
      <c r="M69" s="39">
        <v>8501</v>
      </c>
      <c r="N69" s="39">
        <v>8889</v>
      </c>
      <c r="O69" s="39">
        <v>9174</v>
      </c>
      <c r="P69" s="39">
        <v>9317</v>
      </c>
      <c r="Q69" s="39">
        <v>9031.482</v>
      </c>
      <c r="R69" s="40">
        <v>9060.4732399999994</v>
      </c>
      <c r="S69" s="18"/>
      <c r="T69" s="18"/>
    </row>
    <row r="70" spans="1:20" s="10" customFormat="1" ht="11.25" customHeight="1" x14ac:dyDescent="0.2">
      <c r="A70" s="45"/>
      <c r="B70" s="45"/>
      <c r="C70" s="92" t="s">
        <v>63</v>
      </c>
      <c r="D70" s="92"/>
      <c r="E70" s="39">
        <f>5837069/1000</f>
        <v>5837.0690000000004</v>
      </c>
      <c r="F70" s="39">
        <f>6052382/1000</f>
        <v>6052.3819999999996</v>
      </c>
      <c r="G70" s="39">
        <f>10576262/1000</f>
        <v>10576.262000000001</v>
      </c>
      <c r="H70" s="39">
        <f>18074000/1000</f>
        <v>18074</v>
      </c>
      <c r="I70" s="39">
        <f>19382912/1000</f>
        <v>19382.912</v>
      </c>
      <c r="J70" s="39">
        <v>19194</v>
      </c>
      <c r="K70" s="39">
        <v>23890</v>
      </c>
      <c r="L70" s="39">
        <v>25727</v>
      </c>
      <c r="M70" s="39">
        <v>33858</v>
      </c>
      <c r="N70" s="39">
        <v>37170</v>
      </c>
      <c r="O70" s="39">
        <v>39541</v>
      </c>
      <c r="P70" s="39">
        <v>40813</v>
      </c>
      <c r="Q70" s="39">
        <v>42082.464999999997</v>
      </c>
      <c r="R70" s="40">
        <v>41928.409020000006</v>
      </c>
      <c r="S70" s="18"/>
      <c r="T70" s="18"/>
    </row>
    <row r="71" spans="1:20" s="10" customFormat="1" ht="11.25" customHeight="1" x14ac:dyDescent="0.2">
      <c r="A71" s="45"/>
      <c r="B71" s="45"/>
      <c r="C71" s="92" t="s">
        <v>64</v>
      </c>
      <c r="D71" s="92"/>
      <c r="E71" s="39">
        <f>1101541/1000</f>
        <v>1101.5409999999999</v>
      </c>
      <c r="F71" s="39">
        <f>1085575/1000</f>
        <v>1085.575</v>
      </c>
      <c r="G71" s="39">
        <f>996862/1000</f>
        <v>996.86199999999997</v>
      </c>
      <c r="H71" s="39">
        <f>1126375/1000</f>
        <v>1126.375</v>
      </c>
      <c r="I71" s="39">
        <f>1114916/1000</f>
        <v>1114.9159999999999</v>
      </c>
      <c r="J71" s="39">
        <v>1117</v>
      </c>
      <c r="K71" s="39">
        <v>1253</v>
      </c>
      <c r="L71" s="39">
        <v>1201</v>
      </c>
      <c r="M71" s="39">
        <v>1128</v>
      </c>
      <c r="N71" s="39">
        <v>1117</v>
      </c>
      <c r="O71" s="39">
        <v>911</v>
      </c>
      <c r="P71" s="39">
        <v>941</v>
      </c>
      <c r="Q71" s="39">
        <v>973.32</v>
      </c>
      <c r="R71" s="40">
        <v>922.08</v>
      </c>
      <c r="S71" s="18"/>
      <c r="T71" s="18"/>
    </row>
    <row r="72" spans="1:20" s="10" customFormat="1" ht="11.25" customHeight="1" x14ac:dyDescent="0.2">
      <c r="A72" s="45"/>
      <c r="B72" s="45"/>
      <c r="C72" s="92" t="s">
        <v>65</v>
      </c>
      <c r="D72" s="92"/>
      <c r="E72" s="39">
        <f>831320/1000</f>
        <v>831.32</v>
      </c>
      <c r="F72" s="39">
        <f>942075/1000</f>
        <v>942.07500000000005</v>
      </c>
      <c r="G72" s="39">
        <f>907889/1000</f>
        <v>907.88900000000001</v>
      </c>
      <c r="H72" s="39">
        <f>878024/1000</f>
        <v>878.024</v>
      </c>
      <c r="I72" s="39">
        <f>963074/1000</f>
        <v>963.07399999999996</v>
      </c>
      <c r="J72" s="39">
        <v>958</v>
      </c>
      <c r="K72" s="39">
        <v>1047</v>
      </c>
      <c r="L72" s="39">
        <v>1099</v>
      </c>
      <c r="M72" s="39">
        <v>1133</v>
      </c>
      <c r="N72" s="39">
        <v>1148</v>
      </c>
      <c r="O72" s="39">
        <v>1031</v>
      </c>
      <c r="P72" s="39">
        <v>1020</v>
      </c>
      <c r="Q72" s="39">
        <v>1014.79</v>
      </c>
      <c r="R72" s="40">
        <v>1024.5640000000001</v>
      </c>
      <c r="S72" s="18"/>
      <c r="T72" s="18"/>
    </row>
    <row r="73" spans="1:20" s="10" customFormat="1" ht="11.25" customHeight="1" x14ac:dyDescent="0.2">
      <c r="A73" s="47"/>
      <c r="B73" s="47"/>
      <c r="C73" s="92" t="s">
        <v>66</v>
      </c>
      <c r="D73" s="92"/>
      <c r="E73" s="39">
        <f>15734648/1000</f>
        <v>15734.647999999999</v>
      </c>
      <c r="F73" s="39">
        <f>14028174/1000</f>
        <v>14028.174000000001</v>
      </c>
      <c r="G73" s="39">
        <f>14658001/1000</f>
        <v>14658.001</v>
      </c>
      <c r="H73" s="39">
        <f>24179816/1000</f>
        <v>24179.815999999999</v>
      </c>
      <c r="I73" s="39">
        <f>22062964/1000</f>
        <v>22062.964</v>
      </c>
      <c r="J73" s="39">
        <v>19205</v>
      </c>
      <c r="K73" s="39">
        <v>19143</v>
      </c>
      <c r="L73" s="39">
        <v>18932</v>
      </c>
      <c r="M73" s="39">
        <v>21485</v>
      </c>
      <c r="N73" s="39">
        <v>21000</v>
      </c>
      <c r="O73" s="39">
        <v>24236</v>
      </c>
      <c r="P73" s="39">
        <v>21576</v>
      </c>
      <c r="Q73" s="39">
        <v>21594.446</v>
      </c>
      <c r="R73" s="40">
        <v>22612.340550000001</v>
      </c>
      <c r="S73" s="18"/>
      <c r="T73" s="18"/>
    </row>
    <row r="74" spans="1:20" s="5" customFormat="1" ht="11.25" customHeight="1" x14ac:dyDescent="0.2">
      <c r="A74" s="94" t="s">
        <v>67</v>
      </c>
      <c r="B74" s="94"/>
      <c r="C74" s="94"/>
      <c r="D74" s="94"/>
      <c r="E74" s="32">
        <f>SUM(E75+E82+E85+E93+E104+E106+E110+E116+E120+E122)</f>
        <v>2385411.943</v>
      </c>
      <c r="F74" s="32">
        <f>SUM(F75+F82+F85+F93+F104+F106+F110+F116+F120+F122)</f>
        <v>2416274.8759999997</v>
      </c>
      <c r="G74" s="32">
        <f>SUM(G75+G82+G85+G93+G104+G106+G110+G116+G120+G122)</f>
        <v>2540255.9020000002</v>
      </c>
      <c r="H74" s="32">
        <f>SUM(H75+H82+H85+H93+H104+H106+H110+H116+H120+H122)</f>
        <v>2490669.5449999999</v>
      </c>
      <c r="I74" s="32">
        <f>SUM(I75+I82+I85+I93+I104+I106+I110+I116+I120+I122)</f>
        <v>2525073.5960000004</v>
      </c>
      <c r="J74" s="32">
        <v>3184833</v>
      </c>
      <c r="K74" s="32">
        <f t="shared" ref="K74:P74" si="9">K75+K82+K85+K93+K104+K110+K106+K116+K120+K122</f>
        <v>2693438</v>
      </c>
      <c r="L74" s="32">
        <f t="shared" si="9"/>
        <v>2859144</v>
      </c>
      <c r="M74" s="32">
        <f t="shared" si="9"/>
        <v>3017885.9380000001</v>
      </c>
      <c r="N74" s="32">
        <f t="shared" si="9"/>
        <v>3029694</v>
      </c>
      <c r="O74" s="32">
        <f t="shared" si="9"/>
        <v>3096544</v>
      </c>
      <c r="P74" s="32">
        <f t="shared" si="9"/>
        <v>3220351</v>
      </c>
      <c r="Q74" s="32">
        <f>Q75+Q82+Q85+Q93+Q104+Q110+Q106+Q116+Q120+Q122</f>
        <v>3249461.2170000002</v>
      </c>
      <c r="R74" s="30">
        <v>3316247.152939999</v>
      </c>
      <c r="S74" s="23"/>
      <c r="T74" s="23"/>
    </row>
    <row r="75" spans="1:20" s="5" customFormat="1" ht="11.25" customHeight="1" x14ac:dyDescent="0.2">
      <c r="A75" s="31"/>
      <c r="B75" s="94" t="s">
        <v>68</v>
      </c>
      <c r="C75" s="94"/>
      <c r="D75" s="94"/>
      <c r="E75" s="32">
        <f t="shared" ref="E75:O75" si="10">SUM(E76:E81)</f>
        <v>1343953.7949999999</v>
      </c>
      <c r="F75" s="32">
        <f t="shared" si="10"/>
        <v>1287637.3149999999</v>
      </c>
      <c r="G75" s="32">
        <f t="shared" si="10"/>
        <v>1357709.966</v>
      </c>
      <c r="H75" s="32">
        <f t="shared" si="10"/>
        <v>1223622.557</v>
      </c>
      <c r="I75" s="32">
        <f t="shared" si="10"/>
        <v>1252306.4459999998</v>
      </c>
      <c r="J75" s="32">
        <f t="shared" si="10"/>
        <v>1347271</v>
      </c>
      <c r="K75" s="32">
        <f t="shared" si="10"/>
        <v>1383716</v>
      </c>
      <c r="L75" s="32">
        <f t="shared" si="10"/>
        <v>1506267</v>
      </c>
      <c r="M75" s="32">
        <f t="shared" si="10"/>
        <v>1614367</v>
      </c>
      <c r="N75" s="32">
        <f t="shared" si="10"/>
        <v>1616547</v>
      </c>
      <c r="O75" s="32">
        <f t="shared" si="10"/>
        <v>1650421</v>
      </c>
      <c r="P75" s="32">
        <f>SUM(P76:P81)</f>
        <v>1738510</v>
      </c>
      <c r="Q75" s="32">
        <f>SUM(Q76:Q81)</f>
        <v>1793248.0289999999</v>
      </c>
      <c r="R75" s="30">
        <v>1745927.6341899999</v>
      </c>
      <c r="S75" s="23"/>
      <c r="T75" s="23"/>
    </row>
    <row r="76" spans="1:20" s="10" customFormat="1" ht="11.25" customHeight="1" x14ac:dyDescent="0.2">
      <c r="A76" s="45"/>
      <c r="B76" s="46"/>
      <c r="C76" s="92" t="s">
        <v>69</v>
      </c>
      <c r="D76" s="92"/>
      <c r="E76" s="39">
        <f>757969606/1000</f>
        <v>757969.60600000003</v>
      </c>
      <c r="F76" s="39">
        <f>758688411/1000</f>
        <v>758688.41099999996</v>
      </c>
      <c r="G76" s="39">
        <f>751124431/1000</f>
        <v>751124.43099999998</v>
      </c>
      <c r="H76" s="39">
        <f>706600914/1000</f>
        <v>706600.91399999999</v>
      </c>
      <c r="I76" s="39">
        <f>743861915/1000</f>
        <v>743861.91500000004</v>
      </c>
      <c r="J76" s="39">
        <v>822918</v>
      </c>
      <c r="K76" s="39">
        <v>808074</v>
      </c>
      <c r="L76" s="39">
        <v>849207</v>
      </c>
      <c r="M76" s="39">
        <v>909349</v>
      </c>
      <c r="N76" s="39">
        <v>899832</v>
      </c>
      <c r="O76" s="39">
        <v>899135</v>
      </c>
      <c r="P76" s="39">
        <v>1000378</v>
      </c>
      <c r="Q76" s="39">
        <v>1035674.422</v>
      </c>
      <c r="R76" s="40">
        <v>1040612.2562300001</v>
      </c>
      <c r="S76" s="18"/>
      <c r="T76" s="18"/>
    </row>
    <row r="77" spans="1:20" s="10" customFormat="1" ht="11.25" customHeight="1" x14ac:dyDescent="0.2">
      <c r="A77" s="45"/>
      <c r="B77" s="45"/>
      <c r="C77" s="92" t="s">
        <v>70</v>
      </c>
      <c r="D77" s="92"/>
      <c r="E77" s="39">
        <f>337253208/1000</f>
        <v>337253.20799999998</v>
      </c>
      <c r="F77" s="39">
        <f>267734278/1000</f>
        <v>267734.27799999999</v>
      </c>
      <c r="G77" s="39">
        <f>349445085/1000</f>
        <v>349445.08500000002</v>
      </c>
      <c r="H77" s="39">
        <f>251946886/1000</f>
        <v>251946.886</v>
      </c>
      <c r="I77" s="39">
        <f>249175261/1000</f>
        <v>249175.261</v>
      </c>
      <c r="J77" s="39">
        <v>270004</v>
      </c>
      <c r="K77" s="39">
        <v>302106</v>
      </c>
      <c r="L77" s="39">
        <v>348989</v>
      </c>
      <c r="M77" s="39">
        <v>361006</v>
      </c>
      <c r="N77" s="39">
        <v>365986</v>
      </c>
      <c r="O77" s="39">
        <v>362364</v>
      </c>
      <c r="P77" s="39">
        <v>345607</v>
      </c>
      <c r="Q77" s="39">
        <v>330625.50699999998</v>
      </c>
      <c r="R77" s="40">
        <v>322293.65677999996</v>
      </c>
      <c r="S77" s="18"/>
      <c r="T77" s="18"/>
    </row>
    <row r="78" spans="1:20" s="10" customFormat="1" ht="11.25" customHeight="1" x14ac:dyDescent="0.2">
      <c r="A78" s="45"/>
      <c r="B78" s="45"/>
      <c r="C78" s="92" t="s">
        <v>71</v>
      </c>
      <c r="D78" s="92"/>
      <c r="E78" s="39">
        <f>26422047/1000</f>
        <v>26422.046999999999</v>
      </c>
      <c r="F78" s="39">
        <f>27053883/1000</f>
        <v>27053.883000000002</v>
      </c>
      <c r="G78" s="39">
        <f>26034699/1000</f>
        <v>26034.699000000001</v>
      </c>
      <c r="H78" s="39">
        <f>30042516/1000</f>
        <v>30042.516</v>
      </c>
      <c r="I78" s="39">
        <f>36974691/1000</f>
        <v>36974.690999999999</v>
      </c>
      <c r="J78" s="39">
        <v>36495</v>
      </c>
      <c r="K78" s="39">
        <v>37078</v>
      </c>
      <c r="L78" s="39">
        <v>54357</v>
      </c>
      <c r="M78" s="39">
        <v>76169</v>
      </c>
      <c r="N78" s="39">
        <v>77096</v>
      </c>
      <c r="O78" s="39">
        <v>81572</v>
      </c>
      <c r="P78" s="39">
        <v>87217</v>
      </c>
      <c r="Q78" s="39">
        <v>88245.831999999995</v>
      </c>
      <c r="R78" s="40">
        <v>87483.070599999992</v>
      </c>
      <c r="S78" s="18"/>
      <c r="T78" s="18"/>
    </row>
    <row r="79" spans="1:20" s="10" customFormat="1" ht="11.25" customHeight="1" x14ac:dyDescent="0.2">
      <c r="A79" s="45"/>
      <c r="B79" s="45"/>
      <c r="C79" s="92" t="s">
        <v>72</v>
      </c>
      <c r="D79" s="92"/>
      <c r="E79" s="39">
        <f>78635977/1000</f>
        <v>78635.976999999999</v>
      </c>
      <c r="F79" s="39">
        <f>86027679/1000</f>
        <v>86027.679000000004</v>
      </c>
      <c r="G79" s="39">
        <f>84138516/1000</f>
        <v>84138.516000000003</v>
      </c>
      <c r="H79" s="39">
        <f>82185136/1000</f>
        <v>82185.135999999999</v>
      </c>
      <c r="I79" s="39">
        <f>82211597/1000</f>
        <v>82211.596999999994</v>
      </c>
      <c r="J79" s="39">
        <v>77902</v>
      </c>
      <c r="K79" s="39">
        <v>92125</v>
      </c>
      <c r="L79" s="39">
        <v>105203</v>
      </c>
      <c r="M79" s="39">
        <v>113465</v>
      </c>
      <c r="N79" s="39">
        <v>116374</v>
      </c>
      <c r="O79" s="39">
        <v>113856</v>
      </c>
      <c r="P79" s="39">
        <v>117084</v>
      </c>
      <c r="Q79" s="39">
        <v>139462.04800000001</v>
      </c>
      <c r="R79" s="40">
        <v>121574.68953</v>
      </c>
      <c r="S79" s="18"/>
      <c r="T79" s="18"/>
    </row>
    <row r="80" spans="1:20" s="10" customFormat="1" ht="11.25" customHeight="1" x14ac:dyDescent="0.2">
      <c r="A80" s="45"/>
      <c r="B80" s="45"/>
      <c r="C80" s="92" t="s">
        <v>73</v>
      </c>
      <c r="D80" s="92"/>
      <c r="E80" s="39">
        <f>46122942/1000</f>
        <v>46122.942000000003</v>
      </c>
      <c r="F80" s="39">
        <f>47315034/1000</f>
        <v>47315.034</v>
      </c>
      <c r="G80" s="39">
        <f>42783014/1000</f>
        <v>42783.014000000003</v>
      </c>
      <c r="H80" s="39">
        <f>46044249/1000</f>
        <v>46044.249000000003</v>
      </c>
      <c r="I80" s="39">
        <f>31095173/1000</f>
        <v>31095.172999999999</v>
      </c>
      <c r="J80" s="39">
        <v>27516</v>
      </c>
      <c r="K80" s="39">
        <v>29473</v>
      </c>
      <c r="L80" s="39">
        <v>30423</v>
      </c>
      <c r="M80" s="39">
        <v>33194</v>
      </c>
      <c r="N80" s="39">
        <v>33663</v>
      </c>
      <c r="O80" s="39">
        <v>66590</v>
      </c>
      <c r="P80" s="39">
        <v>58578</v>
      </c>
      <c r="Q80" s="39">
        <v>64918.112000000001</v>
      </c>
      <c r="R80" s="40">
        <v>36878.650999999998</v>
      </c>
      <c r="S80" s="18"/>
      <c r="T80" s="18"/>
    </row>
    <row r="81" spans="1:20" s="10" customFormat="1" ht="11.25" customHeight="1" x14ac:dyDescent="0.2">
      <c r="A81" s="45"/>
      <c r="B81" s="47"/>
      <c r="C81" s="92" t="s">
        <v>74</v>
      </c>
      <c r="D81" s="92"/>
      <c r="E81" s="39">
        <f>97550015/1000</f>
        <v>97550.014999999999</v>
      </c>
      <c r="F81" s="39">
        <f>100818030/1000</f>
        <v>100818.03</v>
      </c>
      <c r="G81" s="39">
        <f>104184221/1000</f>
        <v>104184.22100000001</v>
      </c>
      <c r="H81" s="39">
        <f>106802856/1000</f>
        <v>106802.856</v>
      </c>
      <c r="I81" s="39">
        <f>108987809/1000</f>
        <v>108987.80899999999</v>
      </c>
      <c r="J81" s="39">
        <v>112436</v>
      </c>
      <c r="K81" s="39">
        <v>114860</v>
      </c>
      <c r="L81" s="39">
        <v>118088</v>
      </c>
      <c r="M81" s="39">
        <v>121184</v>
      </c>
      <c r="N81" s="39">
        <v>123596</v>
      </c>
      <c r="O81" s="39">
        <v>126904</v>
      </c>
      <c r="P81" s="39">
        <v>129646</v>
      </c>
      <c r="Q81" s="39">
        <v>134322.10800000001</v>
      </c>
      <c r="R81" s="40">
        <v>137085.31005</v>
      </c>
      <c r="S81" s="18"/>
      <c r="T81" s="18"/>
    </row>
    <row r="82" spans="1:20" s="5" customFormat="1" ht="11.25" customHeight="1" x14ac:dyDescent="0.2">
      <c r="A82" s="42"/>
      <c r="B82" s="94" t="s">
        <v>75</v>
      </c>
      <c r="C82" s="94"/>
      <c r="D82" s="94"/>
      <c r="E82" s="32">
        <f t="shared" ref="E82:O82" si="11">SUM(E83:E84)</f>
        <v>116883.348</v>
      </c>
      <c r="F82" s="32">
        <f t="shared" si="11"/>
        <v>127347.98499999999</v>
      </c>
      <c r="G82" s="32">
        <f t="shared" si="11"/>
        <v>122141.954</v>
      </c>
      <c r="H82" s="32">
        <f t="shared" si="11"/>
        <v>156851.35</v>
      </c>
      <c r="I82" s="32">
        <f t="shared" si="11"/>
        <v>176906.826</v>
      </c>
      <c r="J82" s="32">
        <f t="shared" si="11"/>
        <v>741425</v>
      </c>
      <c r="K82" s="32">
        <f t="shared" si="11"/>
        <v>179879</v>
      </c>
      <c r="L82" s="32">
        <f t="shared" si="11"/>
        <v>180685</v>
      </c>
      <c r="M82" s="32">
        <f t="shared" si="11"/>
        <v>177954</v>
      </c>
      <c r="N82" s="32">
        <f t="shared" si="11"/>
        <v>173514</v>
      </c>
      <c r="O82" s="32">
        <f t="shared" si="11"/>
        <v>176960</v>
      </c>
      <c r="P82" s="32">
        <f>SUM(P83:P84)</f>
        <v>184121</v>
      </c>
      <c r="Q82" s="32">
        <f>SUM(Q83:Q84)</f>
        <v>139125.45199999999</v>
      </c>
      <c r="R82" s="30">
        <v>137448.47124000001</v>
      </c>
      <c r="S82" s="23"/>
      <c r="T82" s="23"/>
    </row>
    <row r="83" spans="1:20" s="10" customFormat="1" ht="11.25" customHeight="1" x14ac:dyDescent="0.2">
      <c r="A83" s="45"/>
      <c r="B83" s="46"/>
      <c r="C83" s="92" t="s">
        <v>76</v>
      </c>
      <c r="D83" s="92"/>
      <c r="E83" s="39">
        <f>83698631/1000</f>
        <v>83698.630999999994</v>
      </c>
      <c r="F83" s="39">
        <f>83937980/1000</f>
        <v>83937.98</v>
      </c>
      <c r="G83" s="39">
        <f>81575304/1000</f>
        <v>81575.304000000004</v>
      </c>
      <c r="H83" s="39">
        <f>104888508/1000</f>
        <v>104888.508</v>
      </c>
      <c r="I83" s="39">
        <f>120142419/1000</f>
        <v>120142.41899999999</v>
      </c>
      <c r="J83" s="39">
        <v>675154</v>
      </c>
      <c r="K83" s="39">
        <v>107986</v>
      </c>
      <c r="L83" s="39">
        <v>107325</v>
      </c>
      <c r="M83" s="39">
        <v>111867</v>
      </c>
      <c r="N83" s="39">
        <v>111796</v>
      </c>
      <c r="O83" s="39">
        <v>111809</v>
      </c>
      <c r="P83" s="39">
        <v>121414</v>
      </c>
      <c r="Q83" s="39">
        <v>78621.426999999996</v>
      </c>
      <c r="R83" s="40">
        <v>78391.123049999995</v>
      </c>
      <c r="S83" s="18"/>
      <c r="T83" s="18"/>
    </row>
    <row r="84" spans="1:20" s="10" customFormat="1" ht="11.25" customHeight="1" x14ac:dyDescent="0.2">
      <c r="A84" s="45"/>
      <c r="B84" s="47"/>
      <c r="C84" s="92" t="s">
        <v>77</v>
      </c>
      <c r="D84" s="92"/>
      <c r="E84" s="39">
        <f>33184717/1000</f>
        <v>33184.716999999997</v>
      </c>
      <c r="F84" s="39">
        <f>43410005/1000</f>
        <v>43410.004999999997</v>
      </c>
      <c r="G84" s="39">
        <f>40566650/1000</f>
        <v>40566.65</v>
      </c>
      <c r="H84" s="39">
        <f>51962842/1000</f>
        <v>51962.841999999997</v>
      </c>
      <c r="I84" s="39">
        <f>56764407/1000</f>
        <v>56764.406999999999</v>
      </c>
      <c r="J84" s="39">
        <v>66271</v>
      </c>
      <c r="K84" s="39">
        <v>71893</v>
      </c>
      <c r="L84" s="39">
        <v>73360</v>
      </c>
      <c r="M84" s="39">
        <v>66087</v>
      </c>
      <c r="N84" s="39">
        <v>61718</v>
      </c>
      <c r="O84" s="39">
        <v>65151</v>
      </c>
      <c r="P84" s="39">
        <v>62707</v>
      </c>
      <c r="Q84" s="39">
        <v>60504.025000000001</v>
      </c>
      <c r="R84" s="40">
        <v>59057.348189999997</v>
      </c>
      <c r="S84" s="18"/>
      <c r="T84" s="18"/>
    </row>
    <row r="85" spans="1:20" s="5" customFormat="1" ht="11.25" customHeight="1" x14ac:dyDescent="0.2">
      <c r="A85" s="42"/>
      <c r="B85" s="94" t="s">
        <v>78</v>
      </c>
      <c r="C85" s="94"/>
      <c r="D85" s="94"/>
      <c r="E85" s="32">
        <f t="shared" ref="E85:O85" si="12">SUM(E86:E92)</f>
        <v>50921.483</v>
      </c>
      <c r="F85" s="32">
        <f t="shared" si="12"/>
        <v>58957.107000000004</v>
      </c>
      <c r="G85" s="32">
        <f t="shared" si="12"/>
        <v>63790.590000000004</v>
      </c>
      <c r="H85" s="32">
        <f t="shared" si="12"/>
        <v>55702.794000000002</v>
      </c>
      <c r="I85" s="32">
        <f t="shared" si="12"/>
        <v>56066.212</v>
      </c>
      <c r="J85" s="32">
        <f t="shared" si="12"/>
        <v>66374</v>
      </c>
      <c r="K85" s="32">
        <f t="shared" si="12"/>
        <v>56815</v>
      </c>
      <c r="L85" s="32">
        <f t="shared" si="12"/>
        <v>50548</v>
      </c>
      <c r="M85" s="32">
        <f t="shared" si="12"/>
        <v>61153.937999999995</v>
      </c>
      <c r="N85" s="32">
        <f t="shared" si="12"/>
        <v>72504</v>
      </c>
      <c r="O85" s="32">
        <f t="shared" si="12"/>
        <v>59557</v>
      </c>
      <c r="P85" s="32">
        <f>SUM(P86:P92)</f>
        <v>59943</v>
      </c>
      <c r="Q85" s="32">
        <f>SUM(Q86:Q92)</f>
        <v>59810.087</v>
      </c>
      <c r="R85" s="30">
        <v>62814.134050000008</v>
      </c>
      <c r="S85" s="23"/>
      <c r="T85" s="23"/>
    </row>
    <row r="86" spans="1:20" s="10" customFormat="1" ht="11.25" customHeight="1" x14ac:dyDescent="0.2">
      <c r="A86" s="45"/>
      <c r="B86" s="46"/>
      <c r="C86" s="92" t="s">
        <v>79</v>
      </c>
      <c r="D86" s="92"/>
      <c r="E86" s="39">
        <f>286955/1000</f>
        <v>286.95499999999998</v>
      </c>
      <c r="F86" s="39">
        <f>1094120/1000</f>
        <v>1094.1199999999999</v>
      </c>
      <c r="G86" s="39">
        <f>1192859/1000</f>
        <v>1192.8589999999999</v>
      </c>
      <c r="H86" s="39">
        <f>972207/1000</f>
        <v>972.20699999999999</v>
      </c>
      <c r="I86" s="39">
        <f>1271864/1000</f>
        <v>1271.864</v>
      </c>
      <c r="J86" s="39">
        <v>953</v>
      </c>
      <c r="K86" s="39">
        <v>1691</v>
      </c>
      <c r="L86" s="39">
        <v>3127</v>
      </c>
      <c r="M86" s="39">
        <v>4153</v>
      </c>
      <c r="N86" s="39">
        <v>442</v>
      </c>
      <c r="O86" s="39">
        <v>1247</v>
      </c>
      <c r="P86" s="39">
        <v>2396</v>
      </c>
      <c r="Q86" s="39">
        <v>1358.51</v>
      </c>
      <c r="R86" s="40">
        <v>821.85122999999999</v>
      </c>
      <c r="S86" s="18"/>
      <c r="T86" s="18"/>
    </row>
    <row r="87" spans="1:20" s="10" customFormat="1" ht="11.25" customHeight="1" x14ac:dyDescent="0.2">
      <c r="A87" s="45"/>
      <c r="B87" s="45"/>
      <c r="C87" s="92" t="s">
        <v>80</v>
      </c>
      <c r="D87" s="92"/>
      <c r="E87" s="39">
        <f>16139300/1000</f>
        <v>16139.3</v>
      </c>
      <c r="F87" s="39">
        <f>18256491/1000</f>
        <v>18256.491000000002</v>
      </c>
      <c r="G87" s="39">
        <f>12813234/1000</f>
        <v>12813.234</v>
      </c>
      <c r="H87" s="39">
        <f>10107489/1000</f>
        <v>10107.489</v>
      </c>
      <c r="I87" s="39">
        <f>7665764/1000</f>
        <v>7665.7640000000001</v>
      </c>
      <c r="J87" s="39">
        <v>9702</v>
      </c>
      <c r="K87" s="39">
        <v>9687</v>
      </c>
      <c r="L87" s="39">
        <v>12624</v>
      </c>
      <c r="M87" s="39">
        <v>12474</v>
      </c>
      <c r="N87" s="39">
        <v>7972</v>
      </c>
      <c r="O87" s="39">
        <v>7694</v>
      </c>
      <c r="P87" s="39">
        <v>7976</v>
      </c>
      <c r="Q87" s="39">
        <v>7619.326</v>
      </c>
      <c r="R87" s="40">
        <v>6884.6315500000001</v>
      </c>
      <c r="S87" s="18"/>
      <c r="T87" s="18"/>
    </row>
    <row r="88" spans="1:20" s="25" customFormat="1" ht="11.25" customHeight="1" x14ac:dyDescent="0.2">
      <c r="A88" s="48"/>
      <c r="B88" s="48"/>
      <c r="C88" s="92" t="s">
        <v>81</v>
      </c>
      <c r="D88" s="92"/>
      <c r="E88" s="36">
        <f>180641/1000</f>
        <v>180.64099999999999</v>
      </c>
      <c r="F88" s="36">
        <f>172938/1000</f>
        <v>172.93799999999999</v>
      </c>
      <c r="G88" s="36">
        <f>172938/1000</f>
        <v>172.93799999999999</v>
      </c>
      <c r="H88" s="36">
        <f>115538/1000</f>
        <v>115.538</v>
      </c>
      <c r="I88" s="36">
        <f>115538/1000</f>
        <v>115.538</v>
      </c>
      <c r="J88" s="36">
        <v>1</v>
      </c>
      <c r="K88" s="36">
        <v>1</v>
      </c>
      <c r="L88" s="36">
        <v>1</v>
      </c>
      <c r="M88" s="36">
        <v>0.93799999999999994</v>
      </c>
      <c r="N88" s="36">
        <v>1</v>
      </c>
      <c r="O88" s="36">
        <v>1</v>
      </c>
      <c r="P88" s="39">
        <v>1</v>
      </c>
      <c r="Q88" s="39">
        <v>50.601999999999997</v>
      </c>
      <c r="R88" s="37">
        <v>59.35915</v>
      </c>
      <c r="S88" s="24"/>
      <c r="T88" s="24"/>
    </row>
    <row r="89" spans="1:20" s="25" customFormat="1" ht="11.25" customHeight="1" x14ac:dyDescent="0.2">
      <c r="A89" s="48"/>
      <c r="B89" s="48"/>
      <c r="C89" s="92" t="s">
        <v>82</v>
      </c>
      <c r="D89" s="92"/>
      <c r="E89" s="36">
        <f>229963/1000</f>
        <v>229.96299999999999</v>
      </c>
      <c r="F89" s="36">
        <f>1296497/1000</f>
        <v>1296.4970000000001</v>
      </c>
      <c r="G89" s="36">
        <f>28534/1000</f>
        <v>28.533999999999999</v>
      </c>
      <c r="H89" s="36">
        <f>18894/1000</f>
        <v>18.893999999999998</v>
      </c>
      <c r="I89" s="36">
        <f>7127/1000</f>
        <v>7.1269999999999998</v>
      </c>
      <c r="J89" s="36">
        <v>245</v>
      </c>
      <c r="K89" s="36">
        <v>2355</v>
      </c>
      <c r="L89" s="36">
        <v>18</v>
      </c>
      <c r="M89" s="36">
        <v>318</v>
      </c>
      <c r="N89" s="36">
        <v>17138</v>
      </c>
      <c r="O89" s="36">
        <v>14</v>
      </c>
      <c r="P89" s="39">
        <v>20</v>
      </c>
      <c r="Q89" s="39">
        <v>72.097999999999999</v>
      </c>
      <c r="R89" s="37">
        <v>105.32344000000001</v>
      </c>
      <c r="S89" s="24"/>
      <c r="T89" s="24"/>
    </row>
    <row r="90" spans="1:20" s="10" customFormat="1" ht="11.25" customHeight="1" x14ac:dyDescent="0.2">
      <c r="A90" s="45"/>
      <c r="B90" s="45"/>
      <c r="C90" s="92" t="s">
        <v>83</v>
      </c>
      <c r="D90" s="92"/>
      <c r="E90" s="39">
        <f>231509/1000</f>
        <v>231.50899999999999</v>
      </c>
      <c r="F90" s="39">
        <f>290356/1000</f>
        <v>290.35599999999999</v>
      </c>
      <c r="G90" s="39">
        <f>215498/1000</f>
        <v>215.49799999999999</v>
      </c>
      <c r="H90" s="39">
        <f>188927/1000</f>
        <v>188.92699999999999</v>
      </c>
      <c r="I90" s="39">
        <f>181931/1000</f>
        <v>181.93100000000001</v>
      </c>
      <c r="J90" s="39">
        <v>377</v>
      </c>
      <c r="K90" s="39">
        <v>270</v>
      </c>
      <c r="L90" s="39">
        <v>384</v>
      </c>
      <c r="M90" s="39">
        <v>237</v>
      </c>
      <c r="N90" s="39">
        <v>255</v>
      </c>
      <c r="O90" s="39">
        <v>245</v>
      </c>
      <c r="P90" s="39">
        <v>308</v>
      </c>
      <c r="Q90" s="39">
        <v>240.387</v>
      </c>
      <c r="R90" s="40">
        <v>262.06010000000003</v>
      </c>
      <c r="S90" s="18"/>
      <c r="T90" s="18"/>
    </row>
    <row r="91" spans="1:20" s="10" customFormat="1" ht="11.25" customHeight="1" x14ac:dyDescent="0.2">
      <c r="A91" s="45"/>
      <c r="B91" s="45"/>
      <c r="C91" s="92" t="s">
        <v>84</v>
      </c>
      <c r="D91" s="92"/>
      <c r="E91" s="39">
        <f>30812750/1000</f>
        <v>30812.75</v>
      </c>
      <c r="F91" s="39">
        <f>34472360/1000</f>
        <v>34472.36</v>
      </c>
      <c r="G91" s="39">
        <f>45597353/1000</f>
        <v>45597.353000000003</v>
      </c>
      <c r="H91" s="39">
        <f>40627907/1000</f>
        <v>40627.906999999999</v>
      </c>
      <c r="I91" s="39">
        <f>43080782/1000</f>
        <v>43080.781999999999</v>
      </c>
      <c r="J91" s="39">
        <v>50770</v>
      </c>
      <c r="K91" s="39">
        <v>38198</v>
      </c>
      <c r="L91" s="39">
        <v>29361</v>
      </c>
      <c r="M91" s="39">
        <v>39100</v>
      </c>
      <c r="N91" s="39">
        <v>41637</v>
      </c>
      <c r="O91" s="39">
        <v>43607</v>
      </c>
      <c r="P91" s="39">
        <v>42372</v>
      </c>
      <c r="Q91" s="39">
        <v>43615.587</v>
      </c>
      <c r="R91" s="40">
        <v>47588.428200000002</v>
      </c>
      <c r="S91" s="18"/>
      <c r="T91" s="18"/>
    </row>
    <row r="92" spans="1:20" s="10" customFormat="1" ht="11.25" customHeight="1" x14ac:dyDescent="0.2">
      <c r="A92" s="45"/>
      <c r="B92" s="47"/>
      <c r="C92" s="92" t="s">
        <v>85</v>
      </c>
      <c r="D92" s="92"/>
      <c r="E92" s="39">
        <f>3040365/1000</f>
        <v>3040.3649999999998</v>
      </c>
      <c r="F92" s="39">
        <f>3374345/1000</f>
        <v>3374.3449999999998</v>
      </c>
      <c r="G92" s="39">
        <f>3770174/1000</f>
        <v>3770.174</v>
      </c>
      <c r="H92" s="39">
        <f>3671832/1000</f>
        <v>3671.8319999999999</v>
      </c>
      <c r="I92" s="39">
        <f>3743206/1000</f>
        <v>3743.2060000000001</v>
      </c>
      <c r="J92" s="39">
        <v>4326</v>
      </c>
      <c r="K92" s="39">
        <v>4613</v>
      </c>
      <c r="L92" s="39">
        <v>5033</v>
      </c>
      <c r="M92" s="39">
        <v>4871</v>
      </c>
      <c r="N92" s="39">
        <v>5059</v>
      </c>
      <c r="O92" s="39">
        <v>6749</v>
      </c>
      <c r="P92" s="39">
        <v>6870</v>
      </c>
      <c r="Q92" s="39">
        <v>6853.5770000000002</v>
      </c>
      <c r="R92" s="40">
        <v>7092.48038</v>
      </c>
      <c r="S92" s="18"/>
      <c r="T92" s="18"/>
    </row>
    <row r="93" spans="1:20" s="5" customFormat="1" ht="11.25" customHeight="1" x14ac:dyDescent="0.2">
      <c r="A93" s="42"/>
      <c r="B93" s="94" t="s">
        <v>86</v>
      </c>
      <c r="C93" s="94"/>
      <c r="D93" s="94"/>
      <c r="E93" s="32">
        <f t="shared" ref="E93:O93" si="13">SUM(E94:E103)</f>
        <v>184433.00699999998</v>
      </c>
      <c r="F93" s="32">
        <f t="shared" si="13"/>
        <v>194052.68700000003</v>
      </c>
      <c r="G93" s="32">
        <f t="shared" si="13"/>
        <v>207463.84800000003</v>
      </c>
      <c r="H93" s="32">
        <f t="shared" si="13"/>
        <v>210335.25299999997</v>
      </c>
      <c r="I93" s="32">
        <f t="shared" si="13"/>
        <v>208920.359</v>
      </c>
      <c r="J93" s="32">
        <f t="shared" si="13"/>
        <v>190277</v>
      </c>
      <c r="K93" s="32">
        <f t="shared" si="13"/>
        <v>195667</v>
      </c>
      <c r="L93" s="32">
        <f t="shared" si="13"/>
        <v>205301</v>
      </c>
      <c r="M93" s="32">
        <f t="shared" si="13"/>
        <v>207011</v>
      </c>
      <c r="N93" s="32">
        <f t="shared" si="13"/>
        <v>218980</v>
      </c>
      <c r="O93" s="32">
        <f t="shared" si="13"/>
        <v>224972</v>
      </c>
      <c r="P93" s="32">
        <f>SUM(P94:P103)</f>
        <v>224798</v>
      </c>
      <c r="Q93" s="32">
        <f>SUM(Q94:Q103)</f>
        <v>225619.62899999999</v>
      </c>
      <c r="R93" s="30">
        <v>234051.84974999999</v>
      </c>
      <c r="S93" s="23"/>
      <c r="T93" s="23"/>
    </row>
    <row r="94" spans="1:20" s="10" customFormat="1" ht="11.25" customHeight="1" x14ac:dyDescent="0.2">
      <c r="A94" s="45"/>
      <c r="B94" s="46"/>
      <c r="C94" s="92" t="s">
        <v>87</v>
      </c>
      <c r="D94" s="92"/>
      <c r="E94" s="39">
        <f>90910/1000</f>
        <v>90.91</v>
      </c>
      <c r="F94" s="39">
        <f>55415/1000</f>
        <v>55.414999999999999</v>
      </c>
      <c r="G94" s="39">
        <f>43160/1000</f>
        <v>43.16</v>
      </c>
      <c r="H94" s="39">
        <f>136240/1000</f>
        <v>136.24</v>
      </c>
      <c r="I94" s="39">
        <f>109971/1000</f>
        <v>109.971</v>
      </c>
      <c r="J94" s="39">
        <v>37</v>
      </c>
      <c r="K94" s="39">
        <v>61</v>
      </c>
      <c r="L94" s="39">
        <v>57</v>
      </c>
      <c r="M94" s="39">
        <v>61</v>
      </c>
      <c r="N94" s="39">
        <v>448</v>
      </c>
      <c r="O94" s="39">
        <v>102</v>
      </c>
      <c r="P94" s="39">
        <v>138</v>
      </c>
      <c r="Q94" s="39">
        <v>293.86399999999998</v>
      </c>
      <c r="R94" s="40">
        <v>239.4</v>
      </c>
      <c r="S94" s="18"/>
      <c r="T94" s="18"/>
    </row>
    <row r="95" spans="1:20" s="10" customFormat="1" ht="11.25" customHeight="1" x14ac:dyDescent="0.2">
      <c r="A95" s="45"/>
      <c r="B95" s="45"/>
      <c r="C95" s="92" t="s">
        <v>88</v>
      </c>
      <c r="D95" s="92"/>
      <c r="E95" s="39">
        <f>51364372/1000</f>
        <v>51364.372000000003</v>
      </c>
      <c r="F95" s="39">
        <f>54102838/1000</f>
        <v>54102.838000000003</v>
      </c>
      <c r="G95" s="39">
        <f>52554981/1000</f>
        <v>52554.981</v>
      </c>
      <c r="H95" s="39">
        <f>55625178/1000</f>
        <v>55625.178</v>
      </c>
      <c r="I95" s="39">
        <f>55530602/1000</f>
        <v>55530.601999999999</v>
      </c>
      <c r="J95" s="39">
        <v>52057</v>
      </c>
      <c r="K95" s="39">
        <v>52973</v>
      </c>
      <c r="L95" s="39">
        <v>54831</v>
      </c>
      <c r="M95" s="39">
        <v>54557</v>
      </c>
      <c r="N95" s="39">
        <v>55512</v>
      </c>
      <c r="O95" s="39">
        <v>59681</v>
      </c>
      <c r="P95" s="39">
        <v>59711</v>
      </c>
      <c r="Q95" s="39">
        <v>61854.084999999999</v>
      </c>
      <c r="R95" s="40">
        <v>66563.769670000009</v>
      </c>
      <c r="S95" s="18"/>
      <c r="T95" s="18"/>
    </row>
    <row r="96" spans="1:20" s="25" customFormat="1" ht="11.25" customHeight="1" x14ac:dyDescent="0.2">
      <c r="A96" s="48"/>
      <c r="B96" s="48"/>
      <c r="C96" s="92" t="s">
        <v>89</v>
      </c>
      <c r="D96" s="92"/>
      <c r="E96" s="36">
        <f>26313162/1000</f>
        <v>26313.162</v>
      </c>
      <c r="F96" s="36">
        <f>26824854/1000</f>
        <v>26824.853999999999</v>
      </c>
      <c r="G96" s="36">
        <f>26758263/1000</f>
        <v>26758.262999999999</v>
      </c>
      <c r="H96" s="36">
        <f>27108008/1000</f>
        <v>27108.008000000002</v>
      </c>
      <c r="I96" s="36">
        <f>31085380/1000</f>
        <v>31085.38</v>
      </c>
      <c r="J96" s="36">
        <v>31222</v>
      </c>
      <c r="K96" s="36">
        <v>30280</v>
      </c>
      <c r="L96" s="36">
        <v>29714</v>
      </c>
      <c r="M96" s="36">
        <v>31612</v>
      </c>
      <c r="N96" s="36">
        <v>30544</v>
      </c>
      <c r="O96" s="36">
        <v>31550</v>
      </c>
      <c r="P96" s="39">
        <v>32461</v>
      </c>
      <c r="Q96" s="39">
        <v>32146.69</v>
      </c>
      <c r="R96" s="37">
        <v>35613.879840000001</v>
      </c>
      <c r="S96" s="24"/>
      <c r="T96" s="24"/>
    </row>
    <row r="97" spans="1:20" s="10" customFormat="1" ht="11.25" customHeight="1" x14ac:dyDescent="0.2">
      <c r="A97" s="50"/>
      <c r="B97" s="50"/>
      <c r="C97" s="92" t="s">
        <v>90</v>
      </c>
      <c r="D97" s="92"/>
      <c r="E97" s="39">
        <f>4694021/1000</f>
        <v>4694.0209999999997</v>
      </c>
      <c r="F97" s="39">
        <f>5123264/1000</f>
        <v>5123.2640000000001</v>
      </c>
      <c r="G97" s="39">
        <f>5673479/1000</f>
        <v>5673.4790000000003</v>
      </c>
      <c r="H97" s="39">
        <f>6209845/1000</f>
        <v>6209.8450000000003</v>
      </c>
      <c r="I97" s="39">
        <f>7367030/1000</f>
        <v>7367.03</v>
      </c>
      <c r="J97" s="39">
        <v>7199</v>
      </c>
      <c r="K97" s="39">
        <v>7231</v>
      </c>
      <c r="L97" s="39">
        <v>8236</v>
      </c>
      <c r="M97" s="39">
        <v>7551</v>
      </c>
      <c r="N97" s="39">
        <v>7428</v>
      </c>
      <c r="O97" s="39">
        <v>8365</v>
      </c>
      <c r="P97" s="39">
        <v>8164</v>
      </c>
      <c r="Q97" s="39">
        <v>7590.48</v>
      </c>
      <c r="R97" s="40">
        <v>8048.5212899999997</v>
      </c>
      <c r="S97" s="18"/>
      <c r="T97" s="18"/>
    </row>
    <row r="98" spans="1:20" s="10" customFormat="1" ht="11.25" customHeight="1" x14ac:dyDescent="0.2">
      <c r="A98" s="50"/>
      <c r="B98" s="50"/>
      <c r="C98" s="92" t="s">
        <v>91</v>
      </c>
      <c r="D98" s="92"/>
      <c r="E98" s="39">
        <f>16612841/1000</f>
        <v>16612.841</v>
      </c>
      <c r="F98" s="39">
        <f>17107087/1000</f>
        <v>17107.087</v>
      </c>
      <c r="G98" s="39">
        <f>17321714/1000</f>
        <v>17321.714</v>
      </c>
      <c r="H98" s="39">
        <f>17450806/1000</f>
        <v>17450.806</v>
      </c>
      <c r="I98" s="39">
        <f>18522196/1000</f>
        <v>18522.196</v>
      </c>
      <c r="J98" s="39">
        <v>18911</v>
      </c>
      <c r="K98" s="39">
        <v>19254</v>
      </c>
      <c r="L98" s="39">
        <v>19032</v>
      </c>
      <c r="M98" s="39">
        <v>19997</v>
      </c>
      <c r="N98" s="39">
        <v>21303</v>
      </c>
      <c r="O98" s="39">
        <v>21698</v>
      </c>
      <c r="P98" s="39">
        <v>22465</v>
      </c>
      <c r="Q98" s="39">
        <v>24128.419000000002</v>
      </c>
      <c r="R98" s="40">
        <v>20016.73014</v>
      </c>
      <c r="S98" s="18"/>
      <c r="T98" s="18"/>
    </row>
    <row r="99" spans="1:20" s="25" customFormat="1" ht="11.25" customHeight="1" x14ac:dyDescent="0.2">
      <c r="A99" s="51"/>
      <c r="B99" s="51"/>
      <c r="C99" s="92" t="s">
        <v>92</v>
      </c>
      <c r="D99" s="92"/>
      <c r="E99" s="36">
        <f>8444328/1000</f>
        <v>8444.3279999999995</v>
      </c>
      <c r="F99" s="36">
        <f>8248786/1000</f>
        <v>8248.7860000000001</v>
      </c>
      <c r="G99" s="36">
        <f>8497440/1000</f>
        <v>8497.44</v>
      </c>
      <c r="H99" s="36">
        <f>8238284/1000</f>
        <v>8238.2839999999997</v>
      </c>
      <c r="I99" s="36">
        <f>7742326/1000</f>
        <v>7742.326</v>
      </c>
      <c r="J99" s="36">
        <v>9427</v>
      </c>
      <c r="K99" s="36">
        <v>8052</v>
      </c>
      <c r="L99" s="36">
        <v>8428</v>
      </c>
      <c r="M99" s="36">
        <v>8656</v>
      </c>
      <c r="N99" s="36">
        <v>8909</v>
      </c>
      <c r="O99" s="36">
        <v>8605</v>
      </c>
      <c r="P99" s="39">
        <v>8465</v>
      </c>
      <c r="Q99" s="39">
        <v>8641.5049999999992</v>
      </c>
      <c r="R99" s="37">
        <v>8560.9898000000012</v>
      </c>
      <c r="S99" s="24"/>
      <c r="T99" s="24"/>
    </row>
    <row r="100" spans="1:20" s="10" customFormat="1" ht="11.25" customHeight="1" x14ac:dyDescent="0.2">
      <c r="A100" s="50"/>
      <c r="B100" s="50"/>
      <c r="C100" s="92" t="s">
        <v>93</v>
      </c>
      <c r="D100" s="92"/>
      <c r="E100" s="39">
        <f>52682153/1000</f>
        <v>52682.152999999998</v>
      </c>
      <c r="F100" s="39">
        <f>54859717/1000</f>
        <v>54859.716999999997</v>
      </c>
      <c r="G100" s="39">
        <f>65815613/1000</f>
        <v>65815.612999999998</v>
      </c>
      <c r="H100" s="39">
        <f>59837240/1000</f>
        <v>59837.24</v>
      </c>
      <c r="I100" s="39">
        <f>46090939/1000</f>
        <v>46090.938999999998</v>
      </c>
      <c r="J100" s="39">
        <v>41292</v>
      </c>
      <c r="K100" s="39">
        <v>47219</v>
      </c>
      <c r="L100" s="39">
        <v>50452</v>
      </c>
      <c r="M100" s="39">
        <v>53656</v>
      </c>
      <c r="N100" s="39">
        <v>73732</v>
      </c>
      <c r="O100" s="39">
        <v>72723</v>
      </c>
      <c r="P100" s="39">
        <v>69851</v>
      </c>
      <c r="Q100" s="39">
        <v>65374.705999999998</v>
      </c>
      <c r="R100" s="40">
        <v>67609.049719999995</v>
      </c>
      <c r="S100" s="18"/>
      <c r="T100" s="18"/>
    </row>
    <row r="101" spans="1:20" s="10" customFormat="1" ht="11.25" customHeight="1" x14ac:dyDescent="0.2">
      <c r="A101" s="50"/>
      <c r="B101" s="50"/>
      <c r="C101" s="92" t="s">
        <v>94</v>
      </c>
      <c r="D101" s="92"/>
      <c r="E101" s="39">
        <f>8294465/1000</f>
        <v>8294.4650000000001</v>
      </c>
      <c r="F101" s="39">
        <f>8269723/1000</f>
        <v>8269.723</v>
      </c>
      <c r="G101" s="39">
        <f>8983419/1000</f>
        <v>8983.4189999999999</v>
      </c>
      <c r="H101" s="39">
        <f>9944775/1000</f>
        <v>9944.7749999999996</v>
      </c>
      <c r="I101" s="39">
        <f>10405385/1000</f>
        <v>10405.385</v>
      </c>
      <c r="J101" s="39">
        <v>11924</v>
      </c>
      <c r="K101" s="39">
        <v>10540</v>
      </c>
      <c r="L101" s="39">
        <v>12089</v>
      </c>
      <c r="M101" s="39">
        <v>13613</v>
      </c>
      <c r="N101" s="39">
        <v>14347</v>
      </c>
      <c r="O101" s="39">
        <v>14559</v>
      </c>
      <c r="P101" s="39">
        <v>14319</v>
      </c>
      <c r="Q101" s="39">
        <v>16169.462</v>
      </c>
      <c r="R101" s="40">
        <v>18789.564979999999</v>
      </c>
      <c r="S101" s="18"/>
      <c r="T101" s="18"/>
    </row>
    <row r="102" spans="1:20" s="10" customFormat="1" ht="11.25" customHeight="1" x14ac:dyDescent="0.2">
      <c r="A102" s="50"/>
      <c r="B102" s="50"/>
      <c r="C102" s="92" t="s">
        <v>95</v>
      </c>
      <c r="D102" s="92"/>
      <c r="E102" s="39">
        <f>9573994/1000</f>
        <v>9573.9940000000006</v>
      </c>
      <c r="F102" s="39">
        <f>9542939/1000</f>
        <v>9542.9390000000003</v>
      </c>
      <c r="G102" s="39">
        <f>14995225/1000</f>
        <v>14995.225</v>
      </c>
      <c r="H102" s="39">
        <f>15705096/1000</f>
        <v>15705.096</v>
      </c>
      <c r="I102" s="39">
        <f>12279354/1000</f>
        <v>12279.353999999999</v>
      </c>
      <c r="J102" s="39">
        <v>13275</v>
      </c>
      <c r="K102" s="39">
        <v>13883</v>
      </c>
      <c r="L102" s="39">
        <v>13985</v>
      </c>
      <c r="M102" s="39">
        <v>6690</v>
      </c>
      <c r="N102" s="39">
        <v>2314</v>
      </c>
      <c r="O102" s="39">
        <v>1827</v>
      </c>
      <c r="P102" s="39">
        <v>912</v>
      </c>
      <c r="Q102" s="39">
        <v>902.21600000000001</v>
      </c>
      <c r="R102" s="40">
        <v>3.51</v>
      </c>
      <c r="S102" s="18"/>
      <c r="T102" s="18"/>
    </row>
    <row r="103" spans="1:20" s="10" customFormat="1" ht="11.25" customHeight="1" x14ac:dyDescent="0.2">
      <c r="A103" s="50"/>
      <c r="B103" s="52"/>
      <c r="C103" s="92" t="s">
        <v>96</v>
      </c>
      <c r="D103" s="92"/>
      <c r="E103" s="39">
        <f>6362761/1000</f>
        <v>6362.7610000000004</v>
      </c>
      <c r="F103" s="39">
        <f>9918064/1000</f>
        <v>9918.0640000000003</v>
      </c>
      <c r="G103" s="39">
        <f>6820554/1000</f>
        <v>6820.5540000000001</v>
      </c>
      <c r="H103" s="39">
        <f>10079781/1000</f>
        <v>10079.781000000001</v>
      </c>
      <c r="I103" s="39">
        <f>19787176/1000</f>
        <v>19787.175999999999</v>
      </c>
      <c r="J103" s="39">
        <v>4933</v>
      </c>
      <c r="K103" s="39">
        <v>6174</v>
      </c>
      <c r="L103" s="39">
        <v>8477</v>
      </c>
      <c r="M103" s="39">
        <v>10618</v>
      </c>
      <c r="N103" s="39">
        <v>4443</v>
      </c>
      <c r="O103" s="39">
        <v>5862</v>
      </c>
      <c r="P103" s="39">
        <v>8312</v>
      </c>
      <c r="Q103" s="39">
        <v>8518.2019999999993</v>
      </c>
      <c r="R103" s="40">
        <v>8606.4343100000006</v>
      </c>
      <c r="S103" s="18"/>
      <c r="T103" s="18"/>
    </row>
    <row r="104" spans="1:20" s="27" customFormat="1" ht="11.25" customHeight="1" x14ac:dyDescent="0.2">
      <c r="A104" s="51"/>
      <c r="B104" s="94" t="s">
        <v>97</v>
      </c>
      <c r="C104" s="94"/>
      <c r="D104" s="94"/>
      <c r="E104" s="53">
        <f>SUM(E105)</f>
        <v>132102.54999999999</v>
      </c>
      <c r="F104" s="53">
        <f>SUM(F105)</f>
        <v>195099.63800000001</v>
      </c>
      <c r="G104" s="53">
        <f>SUM(G105)</f>
        <v>165282.663</v>
      </c>
      <c r="H104" s="53">
        <f>SUM(H105)</f>
        <v>169400.37</v>
      </c>
      <c r="I104" s="53">
        <f>SUM(I105)</f>
        <v>146564.44399999999</v>
      </c>
      <c r="J104" s="53">
        <v>164946</v>
      </c>
      <c r="K104" s="53">
        <v>182098</v>
      </c>
      <c r="L104" s="53">
        <v>191637</v>
      </c>
      <c r="M104" s="53">
        <v>186657</v>
      </c>
      <c r="N104" s="53">
        <v>205831</v>
      </c>
      <c r="O104" s="53">
        <v>216723</v>
      </c>
      <c r="P104" s="53">
        <v>213148</v>
      </c>
      <c r="Q104" s="53">
        <f>SUM(Q105)</f>
        <v>195383.58499999999</v>
      </c>
      <c r="R104" s="54">
        <v>218050.52709000002</v>
      </c>
      <c r="S104" s="26"/>
      <c r="T104" s="26"/>
    </row>
    <row r="105" spans="1:20" s="10" customFormat="1" ht="11.25" customHeight="1" x14ac:dyDescent="0.2">
      <c r="A105" s="50"/>
      <c r="B105" s="55"/>
      <c r="C105" s="92" t="s">
        <v>98</v>
      </c>
      <c r="D105" s="92"/>
      <c r="E105" s="39">
        <f>132102550/1000</f>
        <v>132102.54999999999</v>
      </c>
      <c r="F105" s="39">
        <f>195099638/1000</f>
        <v>195099.63800000001</v>
      </c>
      <c r="G105" s="39">
        <f>165282663/1000</f>
        <v>165282.663</v>
      </c>
      <c r="H105" s="39">
        <f>169400370/1000</f>
        <v>169400.37</v>
      </c>
      <c r="I105" s="39">
        <f>146564444/1000</f>
        <v>146564.44399999999</v>
      </c>
      <c r="J105" s="39">
        <v>164946</v>
      </c>
      <c r="K105" s="39">
        <v>182098</v>
      </c>
      <c r="L105" s="39">
        <v>191637</v>
      </c>
      <c r="M105" s="39">
        <v>186657</v>
      </c>
      <c r="N105" s="39">
        <v>205831</v>
      </c>
      <c r="O105" s="39">
        <v>216723</v>
      </c>
      <c r="P105" s="39">
        <v>213148</v>
      </c>
      <c r="Q105" s="39">
        <v>195383.58499999999</v>
      </c>
      <c r="R105" s="40">
        <v>218050.52709000002</v>
      </c>
      <c r="S105" s="18"/>
      <c r="T105" s="18"/>
    </row>
    <row r="106" spans="1:20" s="5" customFormat="1" ht="11.25" customHeight="1" x14ac:dyDescent="0.2">
      <c r="A106" s="42"/>
      <c r="B106" s="94" t="s">
        <v>99</v>
      </c>
      <c r="C106" s="94"/>
      <c r="D106" s="94"/>
      <c r="E106" s="32">
        <f t="shared" ref="E106:O106" si="14">SUM(E107:E109)</f>
        <v>35945.214999999997</v>
      </c>
      <c r="F106" s="32">
        <f t="shared" si="14"/>
        <v>31398.779000000002</v>
      </c>
      <c r="G106" s="32">
        <f t="shared" si="14"/>
        <v>35061.826999999997</v>
      </c>
      <c r="H106" s="32">
        <f t="shared" si="14"/>
        <v>34429.925999999999</v>
      </c>
      <c r="I106" s="32">
        <f t="shared" si="14"/>
        <v>35332.807999999997</v>
      </c>
      <c r="J106" s="32">
        <f t="shared" si="14"/>
        <v>30915</v>
      </c>
      <c r="K106" s="32">
        <f t="shared" si="14"/>
        <v>29582</v>
      </c>
      <c r="L106" s="32">
        <f t="shared" si="14"/>
        <v>27570</v>
      </c>
      <c r="M106" s="32">
        <f t="shared" si="14"/>
        <v>25102</v>
      </c>
      <c r="N106" s="32">
        <f t="shared" si="14"/>
        <v>30189</v>
      </c>
      <c r="O106" s="32">
        <f t="shared" si="14"/>
        <v>31047</v>
      </c>
      <c r="P106" s="32">
        <f>SUM(P107:P109)</f>
        <v>33721</v>
      </c>
      <c r="Q106" s="32">
        <f>SUM(Q107:Q109)</f>
        <v>39841.71</v>
      </c>
      <c r="R106" s="30">
        <v>40720.100039999998</v>
      </c>
      <c r="S106" s="23"/>
      <c r="T106" s="23"/>
    </row>
    <row r="107" spans="1:20" s="10" customFormat="1" ht="11.25" customHeight="1" x14ac:dyDescent="0.2">
      <c r="A107" s="50"/>
      <c r="B107" s="56"/>
      <c r="C107" s="92" t="s">
        <v>100</v>
      </c>
      <c r="D107" s="92"/>
      <c r="E107" s="39">
        <f>30364565/1000</f>
        <v>30364.564999999999</v>
      </c>
      <c r="F107" s="39">
        <f>25496416/1000</f>
        <v>25496.416000000001</v>
      </c>
      <c r="G107" s="39">
        <f>28862136/1000</f>
        <v>28862.135999999999</v>
      </c>
      <c r="H107" s="39">
        <f>28496661/1000</f>
        <v>28496.661</v>
      </c>
      <c r="I107" s="39">
        <f>28725960/1000</f>
        <v>28725.96</v>
      </c>
      <c r="J107" s="39">
        <v>23750</v>
      </c>
      <c r="K107" s="39">
        <v>22997</v>
      </c>
      <c r="L107" s="39">
        <v>20046</v>
      </c>
      <c r="M107" s="39">
        <v>17779</v>
      </c>
      <c r="N107" s="39">
        <v>22704</v>
      </c>
      <c r="O107" s="39">
        <v>21924</v>
      </c>
      <c r="P107" s="39">
        <v>24073</v>
      </c>
      <c r="Q107" s="39">
        <v>28515.332999999999</v>
      </c>
      <c r="R107" s="40">
        <v>31618.944359999998</v>
      </c>
      <c r="S107" s="18"/>
      <c r="T107" s="18"/>
    </row>
    <row r="108" spans="1:20" s="10" customFormat="1" ht="11.25" customHeight="1" x14ac:dyDescent="0.2">
      <c r="A108" s="50"/>
      <c r="B108" s="50"/>
      <c r="C108" s="92" t="s">
        <v>101</v>
      </c>
      <c r="D108" s="92"/>
      <c r="E108" s="39">
        <f>1336905/1000</f>
        <v>1336.905</v>
      </c>
      <c r="F108" s="39">
        <f>1214162/1000</f>
        <v>1214.162</v>
      </c>
      <c r="G108" s="39">
        <f>1302006/1000</f>
        <v>1302.0060000000001</v>
      </c>
      <c r="H108" s="39">
        <f>1363211/1000</f>
        <v>1363.211</v>
      </c>
      <c r="I108" s="39">
        <f>2321255/1000</f>
        <v>2321.2550000000001</v>
      </c>
      <c r="J108" s="39">
        <v>2984</v>
      </c>
      <c r="K108" s="39">
        <v>1817</v>
      </c>
      <c r="L108" s="39">
        <v>2284</v>
      </c>
      <c r="M108" s="39">
        <v>2071</v>
      </c>
      <c r="N108" s="39">
        <v>2274</v>
      </c>
      <c r="O108" s="39">
        <v>4082</v>
      </c>
      <c r="P108" s="39">
        <v>4216</v>
      </c>
      <c r="Q108" s="39">
        <v>3373.4789999999998</v>
      </c>
      <c r="R108" s="40">
        <v>3807.0579400000001</v>
      </c>
      <c r="S108" s="18"/>
      <c r="T108" s="18"/>
    </row>
    <row r="109" spans="1:20" s="10" customFormat="1" ht="11.25" customHeight="1" x14ac:dyDescent="0.2">
      <c r="A109" s="50"/>
      <c r="B109" s="52"/>
      <c r="C109" s="92" t="s">
        <v>102</v>
      </c>
      <c r="D109" s="92"/>
      <c r="E109" s="39">
        <f>4243745/1000</f>
        <v>4243.7449999999999</v>
      </c>
      <c r="F109" s="39">
        <f>4688201/1000</f>
        <v>4688.201</v>
      </c>
      <c r="G109" s="39">
        <f>4897685/1000</f>
        <v>4897.6850000000004</v>
      </c>
      <c r="H109" s="39">
        <f>4570054/1000</f>
        <v>4570.0540000000001</v>
      </c>
      <c r="I109" s="39">
        <f>4285593/1000</f>
        <v>4285.5929999999998</v>
      </c>
      <c r="J109" s="39">
        <v>4181</v>
      </c>
      <c r="K109" s="39">
        <v>4768</v>
      </c>
      <c r="L109" s="39">
        <v>5240</v>
      </c>
      <c r="M109" s="39">
        <v>5252</v>
      </c>
      <c r="N109" s="39">
        <v>5211</v>
      </c>
      <c r="O109" s="39">
        <v>5041</v>
      </c>
      <c r="P109" s="39">
        <v>5432</v>
      </c>
      <c r="Q109" s="39">
        <v>7952.8980000000001</v>
      </c>
      <c r="R109" s="40">
        <v>5294.0977400000002</v>
      </c>
      <c r="S109" s="18"/>
      <c r="T109" s="18"/>
    </row>
    <row r="110" spans="1:20" s="5" customFormat="1" ht="11.25" customHeight="1" x14ac:dyDescent="0.2">
      <c r="A110" s="42"/>
      <c r="B110" s="94" t="s">
        <v>103</v>
      </c>
      <c r="C110" s="94"/>
      <c r="D110" s="94"/>
      <c r="E110" s="32">
        <f t="shared" ref="E110:O110" si="15">SUM(E111:E115)</f>
        <v>409982.848</v>
      </c>
      <c r="F110" s="32">
        <f t="shared" si="15"/>
        <v>398255.39</v>
      </c>
      <c r="G110" s="32">
        <f t="shared" si="15"/>
        <v>396846.57900000003</v>
      </c>
      <c r="H110" s="32">
        <f t="shared" si="15"/>
        <v>413494.49400000001</v>
      </c>
      <c r="I110" s="32">
        <f t="shared" si="15"/>
        <v>420212.69299999997</v>
      </c>
      <c r="J110" s="32">
        <f t="shared" si="15"/>
        <v>419584</v>
      </c>
      <c r="K110" s="32">
        <f t="shared" si="15"/>
        <v>435429</v>
      </c>
      <c r="L110" s="32">
        <f t="shared" si="15"/>
        <v>462607</v>
      </c>
      <c r="M110" s="32">
        <f t="shared" si="15"/>
        <v>491217</v>
      </c>
      <c r="N110" s="32">
        <f t="shared" si="15"/>
        <v>446238</v>
      </c>
      <c r="O110" s="32">
        <f t="shared" si="15"/>
        <v>461992</v>
      </c>
      <c r="P110" s="32">
        <f>SUM(P111:P115)</f>
        <v>486666</v>
      </c>
      <c r="Q110" s="32">
        <f>SUM(Q111:Q115)</f>
        <v>523008.07699999999</v>
      </c>
      <c r="R110" s="30">
        <v>559283.31969999999</v>
      </c>
      <c r="S110" s="23"/>
      <c r="T110" s="23"/>
    </row>
    <row r="111" spans="1:20" s="10" customFormat="1" ht="11.25" customHeight="1" x14ac:dyDescent="0.2">
      <c r="A111" s="50"/>
      <c r="B111" s="56"/>
      <c r="C111" s="92" t="s">
        <v>104</v>
      </c>
      <c r="D111" s="92"/>
      <c r="E111" s="39">
        <f>267392839/1000</f>
        <v>267392.83899999998</v>
      </c>
      <c r="F111" s="39">
        <f>269709125/1000</f>
        <v>269709.125</v>
      </c>
      <c r="G111" s="39">
        <f>258762456/1000</f>
        <v>258762.45600000001</v>
      </c>
      <c r="H111" s="39">
        <f>262089827/1000</f>
        <v>262089.82699999999</v>
      </c>
      <c r="I111" s="39">
        <f>272286587/1000</f>
        <v>272286.587</v>
      </c>
      <c r="J111" s="39">
        <v>275350</v>
      </c>
      <c r="K111" s="39">
        <v>285461</v>
      </c>
      <c r="L111" s="39">
        <v>306175</v>
      </c>
      <c r="M111" s="39">
        <v>331625</v>
      </c>
      <c r="N111" s="39">
        <v>286349</v>
      </c>
      <c r="O111" s="39">
        <v>291661</v>
      </c>
      <c r="P111" s="39">
        <v>309684</v>
      </c>
      <c r="Q111" s="39">
        <v>320290.18199999997</v>
      </c>
      <c r="R111" s="40">
        <v>324530.34701999999</v>
      </c>
      <c r="S111" s="18"/>
      <c r="T111" s="18"/>
    </row>
    <row r="112" spans="1:20" s="10" customFormat="1" ht="11.25" customHeight="1" x14ac:dyDescent="0.2">
      <c r="A112" s="50"/>
      <c r="B112" s="50"/>
      <c r="C112" s="92" t="s">
        <v>105</v>
      </c>
      <c r="D112" s="92"/>
      <c r="E112" s="39">
        <f>0/1000</f>
        <v>0</v>
      </c>
      <c r="F112" s="39">
        <f>0/1000</f>
        <v>0</v>
      </c>
      <c r="G112" s="39">
        <f>0/1000</f>
        <v>0</v>
      </c>
      <c r="H112" s="39">
        <f>72500/1000</f>
        <v>72.5</v>
      </c>
      <c r="I112" s="39">
        <f>0/1000</f>
        <v>0</v>
      </c>
      <c r="J112" s="39">
        <f>0/1000</f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40">
        <v>0</v>
      </c>
      <c r="S112" s="18"/>
      <c r="T112" s="18"/>
    </row>
    <row r="113" spans="1:20" s="25" customFormat="1" ht="11.25" customHeight="1" x14ac:dyDescent="0.2">
      <c r="A113" s="51"/>
      <c r="B113" s="51"/>
      <c r="C113" s="92" t="s">
        <v>106</v>
      </c>
      <c r="D113" s="92"/>
      <c r="E113" s="36">
        <f>135830737/1000</f>
        <v>135830.73699999999</v>
      </c>
      <c r="F113" s="36">
        <f>122077184/1000</f>
        <v>122077.18399999999</v>
      </c>
      <c r="G113" s="36">
        <f>131504907/1000</f>
        <v>131504.90700000001</v>
      </c>
      <c r="H113" s="36">
        <f>145904345/1000</f>
        <v>145904.345</v>
      </c>
      <c r="I113" s="36">
        <f>145063604/1000</f>
        <v>145063.60399999999</v>
      </c>
      <c r="J113" s="36">
        <v>143005</v>
      </c>
      <c r="K113" s="36">
        <v>147643</v>
      </c>
      <c r="L113" s="36">
        <v>154875</v>
      </c>
      <c r="M113" s="36">
        <v>158488</v>
      </c>
      <c r="N113" s="36">
        <v>155988</v>
      </c>
      <c r="O113" s="36">
        <v>168536</v>
      </c>
      <c r="P113" s="36">
        <v>176022</v>
      </c>
      <c r="Q113" s="36">
        <v>201673.212</v>
      </c>
      <c r="R113" s="37">
        <v>233942.68444000001</v>
      </c>
      <c r="S113" s="24"/>
      <c r="T113" s="24"/>
    </row>
    <row r="114" spans="1:20" s="10" customFormat="1" ht="11.25" customHeight="1" x14ac:dyDescent="0.2">
      <c r="A114" s="50"/>
      <c r="B114" s="50"/>
      <c r="C114" s="92" t="s">
        <v>107</v>
      </c>
      <c r="D114" s="92"/>
      <c r="E114" s="39">
        <f>1500000/1000</f>
        <v>1500</v>
      </c>
      <c r="F114" s="39">
        <f>1500000/1000</f>
        <v>1500</v>
      </c>
      <c r="G114" s="39">
        <f>1500000/1000</f>
        <v>1500</v>
      </c>
      <c r="H114" s="39">
        <f>0/1000</f>
        <v>0</v>
      </c>
      <c r="I114" s="39">
        <f>0/1000</f>
        <v>0</v>
      </c>
      <c r="J114" s="39">
        <f>0/1000</f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40">
        <v>0</v>
      </c>
      <c r="S114" s="18"/>
      <c r="T114" s="18"/>
    </row>
    <row r="115" spans="1:20" s="10" customFormat="1" ht="11.25" customHeight="1" x14ac:dyDescent="0.2">
      <c r="A115" s="50"/>
      <c r="B115" s="52"/>
      <c r="C115" s="92" t="s">
        <v>108</v>
      </c>
      <c r="D115" s="92"/>
      <c r="E115" s="39">
        <f>5259272/1000</f>
        <v>5259.2719999999999</v>
      </c>
      <c r="F115" s="39">
        <f>4969081/1000</f>
        <v>4969.0810000000001</v>
      </c>
      <c r="G115" s="39">
        <f>5079216/1000</f>
        <v>5079.2160000000003</v>
      </c>
      <c r="H115" s="39">
        <f>5427822/1000</f>
        <v>5427.8220000000001</v>
      </c>
      <c r="I115" s="39">
        <f>2862502/1000</f>
        <v>2862.502</v>
      </c>
      <c r="J115" s="39">
        <v>1229</v>
      </c>
      <c r="K115" s="39">
        <v>2325</v>
      </c>
      <c r="L115" s="39">
        <v>1557</v>
      </c>
      <c r="M115" s="39">
        <v>1104</v>
      </c>
      <c r="N115" s="39">
        <v>3901</v>
      </c>
      <c r="O115" s="39">
        <v>1795</v>
      </c>
      <c r="P115" s="39">
        <v>960</v>
      </c>
      <c r="Q115" s="39">
        <v>1044.683</v>
      </c>
      <c r="R115" s="40">
        <v>810.28823999999997</v>
      </c>
      <c r="S115" s="18"/>
      <c r="T115" s="18"/>
    </row>
    <row r="116" spans="1:20" s="5" customFormat="1" ht="11.25" customHeight="1" x14ac:dyDescent="0.2">
      <c r="A116" s="42"/>
      <c r="B116" s="94" t="s">
        <v>109</v>
      </c>
      <c r="C116" s="94"/>
      <c r="D116" s="94"/>
      <c r="E116" s="32">
        <f t="shared" ref="E116:O116" si="16">SUM(E117:E118)</f>
        <v>47168.536</v>
      </c>
      <c r="F116" s="32">
        <f t="shared" si="16"/>
        <v>52948.330999999998</v>
      </c>
      <c r="G116" s="32">
        <f t="shared" si="16"/>
        <v>56078.046000000002</v>
      </c>
      <c r="H116" s="32">
        <f t="shared" si="16"/>
        <v>63930.487999999998</v>
      </c>
      <c r="I116" s="32">
        <f t="shared" si="16"/>
        <v>64512.49</v>
      </c>
      <c r="J116" s="32">
        <f t="shared" si="16"/>
        <v>67545</v>
      </c>
      <c r="K116" s="32">
        <f t="shared" si="16"/>
        <v>68442</v>
      </c>
      <c r="L116" s="32">
        <f t="shared" si="16"/>
        <v>67844</v>
      </c>
      <c r="M116" s="32">
        <f t="shared" si="16"/>
        <v>75109</v>
      </c>
      <c r="N116" s="32">
        <f t="shared" si="16"/>
        <v>85179</v>
      </c>
      <c r="O116" s="32">
        <f t="shared" si="16"/>
        <v>85198</v>
      </c>
      <c r="P116" s="32">
        <f>SUM(P117:P118)</f>
        <v>84499</v>
      </c>
      <c r="Q116" s="32">
        <f>SUM(Q117:Q118)</f>
        <v>73013.934999999998</v>
      </c>
      <c r="R116" s="30">
        <v>117360.02494</v>
      </c>
      <c r="S116" s="23"/>
      <c r="T116" s="23"/>
    </row>
    <row r="117" spans="1:20" s="10" customFormat="1" ht="11.25" customHeight="1" x14ac:dyDescent="0.2">
      <c r="A117" s="50"/>
      <c r="B117" s="56"/>
      <c r="C117" s="92" t="s">
        <v>110</v>
      </c>
      <c r="D117" s="92"/>
      <c r="E117" s="39">
        <f>42214726/1000</f>
        <v>42214.726000000002</v>
      </c>
      <c r="F117" s="39">
        <f>48444361/1000</f>
        <v>48444.360999999997</v>
      </c>
      <c r="G117" s="39">
        <f>51596156/1000</f>
        <v>51596.156000000003</v>
      </c>
      <c r="H117" s="39">
        <f>59453950/1000</f>
        <v>59453.95</v>
      </c>
      <c r="I117" s="39">
        <f>60042812/1000</f>
        <v>60042.811999999998</v>
      </c>
      <c r="J117" s="39">
        <v>61977</v>
      </c>
      <c r="K117" s="39">
        <v>62626</v>
      </c>
      <c r="L117" s="39">
        <v>64182</v>
      </c>
      <c r="M117" s="39">
        <v>69254</v>
      </c>
      <c r="N117" s="39">
        <v>70341</v>
      </c>
      <c r="O117" s="39">
        <v>70366</v>
      </c>
      <c r="P117" s="39">
        <v>68258</v>
      </c>
      <c r="Q117" s="39">
        <v>71745.842000000004</v>
      </c>
      <c r="R117" s="40">
        <v>72377.255799999999</v>
      </c>
      <c r="S117" s="18"/>
      <c r="T117" s="18"/>
    </row>
    <row r="118" spans="1:20" s="25" customFormat="1" ht="11.25" customHeight="1" x14ac:dyDescent="0.2">
      <c r="A118" s="51"/>
      <c r="B118" s="51"/>
      <c r="C118" s="92" t="s">
        <v>111</v>
      </c>
      <c r="D118" s="92"/>
      <c r="E118" s="36">
        <f>4953810/1000</f>
        <v>4953.8100000000004</v>
      </c>
      <c r="F118" s="36">
        <f>4503970/1000</f>
        <v>4503.97</v>
      </c>
      <c r="G118" s="36">
        <f>4481890/1000</f>
        <v>4481.8900000000003</v>
      </c>
      <c r="H118" s="36">
        <f>4476538/1000</f>
        <v>4476.5379999999996</v>
      </c>
      <c r="I118" s="36">
        <f>4469678/1000</f>
        <v>4469.6779999999999</v>
      </c>
      <c r="J118" s="36">
        <v>5568</v>
      </c>
      <c r="K118" s="36">
        <v>5816</v>
      </c>
      <c r="L118" s="36">
        <v>3662</v>
      </c>
      <c r="M118" s="36">
        <v>5855</v>
      </c>
      <c r="N118" s="36">
        <v>14838</v>
      </c>
      <c r="O118" s="36">
        <v>14832</v>
      </c>
      <c r="P118" s="39">
        <v>16241</v>
      </c>
      <c r="Q118" s="39">
        <v>1268.0930000000001</v>
      </c>
      <c r="R118" s="37">
        <v>1244.4441499999998</v>
      </c>
      <c r="S118" s="24"/>
      <c r="T118" s="24"/>
    </row>
    <row r="119" spans="1:20" s="25" customFormat="1" ht="11.25" customHeight="1" x14ac:dyDescent="0.2">
      <c r="A119" s="51"/>
      <c r="B119" s="57"/>
      <c r="C119" s="35" t="s">
        <v>127</v>
      </c>
      <c r="D119" s="35"/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9">
        <v>0</v>
      </c>
      <c r="Q119" s="39">
        <v>0</v>
      </c>
      <c r="R119" s="37">
        <v>43738.324990000001</v>
      </c>
      <c r="S119" s="24"/>
      <c r="T119" s="24"/>
    </row>
    <row r="120" spans="1:20" s="5" customFormat="1" ht="11.25" customHeight="1" x14ac:dyDescent="0.2">
      <c r="A120" s="42"/>
      <c r="B120" s="94" t="s">
        <v>112</v>
      </c>
      <c r="C120" s="94"/>
      <c r="D120" s="94"/>
      <c r="E120" s="32">
        <f>SUM(E121)</f>
        <v>561.66700000000003</v>
      </c>
      <c r="F120" s="32">
        <f>SUM(F121)</f>
        <v>5215.6220000000003</v>
      </c>
      <c r="G120" s="32">
        <f>SUM(G121)</f>
        <v>1111.453</v>
      </c>
      <c r="H120" s="32">
        <f>SUM(H121)</f>
        <v>11613.022999999999</v>
      </c>
      <c r="I120" s="32">
        <f>SUM(I121)</f>
        <v>13818.311</v>
      </c>
      <c r="J120" s="32">
        <v>1049</v>
      </c>
      <c r="K120" s="32">
        <v>1751</v>
      </c>
      <c r="L120" s="32">
        <v>1338</v>
      </c>
      <c r="M120" s="32">
        <v>1571</v>
      </c>
      <c r="N120" s="32">
        <v>1588</v>
      </c>
      <c r="O120" s="32">
        <v>4814</v>
      </c>
      <c r="P120" s="32">
        <v>3066</v>
      </c>
      <c r="Q120" s="32">
        <f>SUM(Q121)</f>
        <v>2260.962</v>
      </c>
      <c r="R120" s="30">
        <v>3606.5244500000003</v>
      </c>
      <c r="S120" s="23"/>
      <c r="T120" s="23"/>
    </row>
    <row r="121" spans="1:20" s="10" customFormat="1" ht="11.25" customHeight="1" x14ac:dyDescent="0.2">
      <c r="A121" s="50"/>
      <c r="B121" s="55"/>
      <c r="C121" s="92" t="s">
        <v>113</v>
      </c>
      <c r="D121" s="92"/>
      <c r="E121" s="39">
        <f>561667/1000</f>
        <v>561.66700000000003</v>
      </c>
      <c r="F121" s="39">
        <f>5215622/1000</f>
        <v>5215.6220000000003</v>
      </c>
      <c r="G121" s="39">
        <f>1111453/1000</f>
        <v>1111.453</v>
      </c>
      <c r="H121" s="39">
        <f>11613023/1000</f>
        <v>11613.022999999999</v>
      </c>
      <c r="I121" s="39">
        <f>13818311/1000</f>
        <v>13818.311</v>
      </c>
      <c r="J121" s="39">
        <v>1049</v>
      </c>
      <c r="K121" s="39">
        <v>1751</v>
      </c>
      <c r="L121" s="39">
        <v>1338</v>
      </c>
      <c r="M121" s="39">
        <v>1571</v>
      </c>
      <c r="N121" s="39">
        <v>1588</v>
      </c>
      <c r="O121" s="39">
        <v>4814</v>
      </c>
      <c r="P121" s="39">
        <v>3066</v>
      </c>
      <c r="Q121" s="39">
        <v>2260.962</v>
      </c>
      <c r="R121" s="40">
        <v>3606.5244500000003</v>
      </c>
      <c r="S121" s="18"/>
      <c r="T121" s="18"/>
    </row>
    <row r="122" spans="1:20" s="5" customFormat="1" ht="11.25" customHeight="1" x14ac:dyDescent="0.2">
      <c r="A122" s="42"/>
      <c r="B122" s="94" t="s">
        <v>114</v>
      </c>
      <c r="C122" s="94"/>
      <c r="D122" s="94"/>
      <c r="E122" s="32">
        <f t="shared" ref="E122:O122" si="17">SUM(E123:E131)</f>
        <v>63459.494000000006</v>
      </c>
      <c r="F122" s="32">
        <f t="shared" si="17"/>
        <v>65362.02199999999</v>
      </c>
      <c r="G122" s="32">
        <f t="shared" si="17"/>
        <v>134768.976</v>
      </c>
      <c r="H122" s="32">
        <f t="shared" si="17"/>
        <v>151289.29</v>
      </c>
      <c r="I122" s="32">
        <f t="shared" si="17"/>
        <v>150433.00700000001</v>
      </c>
      <c r="J122" s="32">
        <f t="shared" si="17"/>
        <v>155447</v>
      </c>
      <c r="K122" s="32">
        <f t="shared" si="17"/>
        <v>160059</v>
      </c>
      <c r="L122" s="32">
        <f t="shared" si="17"/>
        <v>165347</v>
      </c>
      <c r="M122" s="32">
        <f t="shared" si="17"/>
        <v>177744</v>
      </c>
      <c r="N122" s="32">
        <f t="shared" si="17"/>
        <v>179124</v>
      </c>
      <c r="O122" s="32">
        <f t="shared" si="17"/>
        <v>184860</v>
      </c>
      <c r="P122" s="32">
        <f>SUM(P123:P131)</f>
        <v>191879</v>
      </c>
      <c r="Q122" s="32">
        <f>SUM(Q123:Q131)</f>
        <v>198149.75099999999</v>
      </c>
      <c r="R122" s="30">
        <v>196984.56748999999</v>
      </c>
      <c r="S122" s="23"/>
      <c r="T122" s="23"/>
    </row>
    <row r="123" spans="1:20" s="10" customFormat="1" ht="11.25" customHeight="1" x14ac:dyDescent="0.2">
      <c r="A123" s="50"/>
      <c r="B123" s="56"/>
      <c r="C123" s="92" t="s">
        <v>115</v>
      </c>
      <c r="D123" s="92"/>
      <c r="E123" s="39">
        <f>10815865/1000</f>
        <v>10815.865</v>
      </c>
      <c r="F123" s="39">
        <f>11332644/1000</f>
        <v>11332.644</v>
      </c>
      <c r="G123" s="39">
        <f>14536969/1000</f>
        <v>14536.968999999999</v>
      </c>
      <c r="H123" s="39">
        <f>13264238/1000</f>
        <v>13264.237999999999</v>
      </c>
      <c r="I123" s="39">
        <f>13113112/1000</f>
        <v>13113.111999999999</v>
      </c>
      <c r="J123" s="39">
        <v>12728</v>
      </c>
      <c r="K123" s="39">
        <v>11614</v>
      </c>
      <c r="L123" s="39">
        <v>12317</v>
      </c>
      <c r="M123" s="39">
        <v>13536</v>
      </c>
      <c r="N123" s="39">
        <v>12159</v>
      </c>
      <c r="O123" s="39">
        <v>12409</v>
      </c>
      <c r="P123" s="39">
        <v>13926</v>
      </c>
      <c r="Q123" s="39">
        <v>13595.683999999999</v>
      </c>
      <c r="R123" s="40">
        <v>12776.46117</v>
      </c>
      <c r="S123" s="18"/>
      <c r="T123" s="18"/>
    </row>
    <row r="124" spans="1:20" s="10" customFormat="1" ht="11.25" customHeight="1" x14ac:dyDescent="0.2">
      <c r="A124" s="50"/>
      <c r="B124" s="50"/>
      <c r="C124" s="92" t="s">
        <v>116</v>
      </c>
      <c r="D124" s="92"/>
      <c r="E124" s="39">
        <f>1857208/1000</f>
        <v>1857.2080000000001</v>
      </c>
      <c r="F124" s="39">
        <f>2200674/1000</f>
        <v>2200.674</v>
      </c>
      <c r="G124" s="39">
        <f>9980888/1000</f>
        <v>9980.8880000000008</v>
      </c>
      <c r="H124" s="39">
        <f>9956359/1000</f>
        <v>9956.3590000000004</v>
      </c>
      <c r="I124" s="39">
        <f>10168608/1000</f>
        <v>10168.608</v>
      </c>
      <c r="J124" s="39">
        <v>10541</v>
      </c>
      <c r="K124" s="39">
        <v>10441</v>
      </c>
      <c r="L124" s="39">
        <v>10494</v>
      </c>
      <c r="M124" s="39">
        <v>10390</v>
      </c>
      <c r="N124" s="39">
        <v>10229</v>
      </c>
      <c r="O124" s="39">
        <v>10124</v>
      </c>
      <c r="P124" s="39">
        <v>10614</v>
      </c>
      <c r="Q124" s="39">
        <v>10599.397000000001</v>
      </c>
      <c r="R124" s="40">
        <v>10505.870949999999</v>
      </c>
      <c r="S124" s="18"/>
      <c r="T124" s="18"/>
    </row>
    <row r="125" spans="1:20" s="10" customFormat="1" ht="11.25" customHeight="1" x14ac:dyDescent="0.2">
      <c r="A125" s="50"/>
      <c r="B125" s="50"/>
      <c r="C125" s="92" t="s">
        <v>117</v>
      </c>
      <c r="D125" s="92"/>
      <c r="E125" s="39">
        <f>14267254/1000</f>
        <v>14267.254000000001</v>
      </c>
      <c r="F125" s="39">
        <f>14858340/1000</f>
        <v>14858.34</v>
      </c>
      <c r="G125" s="39">
        <f>71225260/1000</f>
        <v>71225.259999999995</v>
      </c>
      <c r="H125" s="39">
        <f>71874797/1000</f>
        <v>71874.797000000006</v>
      </c>
      <c r="I125" s="39">
        <f>73377119/1000</f>
        <v>73377.119000000006</v>
      </c>
      <c r="J125" s="39">
        <v>81480</v>
      </c>
      <c r="K125" s="39">
        <v>82217</v>
      </c>
      <c r="L125" s="39">
        <v>84315</v>
      </c>
      <c r="M125" s="39">
        <v>84006</v>
      </c>
      <c r="N125" s="39">
        <v>83873</v>
      </c>
      <c r="O125" s="39">
        <v>82933</v>
      </c>
      <c r="P125" s="39">
        <v>87793</v>
      </c>
      <c r="Q125" s="39">
        <v>93372.482000000004</v>
      </c>
      <c r="R125" s="40">
        <v>92625.977050000001</v>
      </c>
      <c r="S125" s="18"/>
      <c r="T125" s="18"/>
    </row>
    <row r="126" spans="1:20" s="10" customFormat="1" ht="11.25" customHeight="1" x14ac:dyDescent="0.2">
      <c r="A126" s="50"/>
      <c r="B126" s="50"/>
      <c r="C126" s="92" t="s">
        <v>118</v>
      </c>
      <c r="D126" s="92"/>
      <c r="E126" s="39">
        <f>1523096/1000</f>
        <v>1523.096</v>
      </c>
      <c r="F126" s="39">
        <f>1906459/1000</f>
        <v>1906.4590000000001</v>
      </c>
      <c r="G126" s="39">
        <f>1927771/1000</f>
        <v>1927.771</v>
      </c>
      <c r="H126" s="39">
        <f>2105065/1000</f>
        <v>2105.0650000000001</v>
      </c>
      <c r="I126" s="39">
        <f>2093032/1000</f>
        <v>2093.0320000000002</v>
      </c>
      <c r="J126" s="39">
        <v>1947</v>
      </c>
      <c r="K126" s="39">
        <v>2188</v>
      </c>
      <c r="L126" s="39">
        <v>2712</v>
      </c>
      <c r="M126" s="39">
        <v>3707</v>
      </c>
      <c r="N126" s="39">
        <v>3539</v>
      </c>
      <c r="O126" s="39">
        <v>4501</v>
      </c>
      <c r="P126" s="39">
        <v>5879</v>
      </c>
      <c r="Q126" s="39">
        <v>5885.6850000000004</v>
      </c>
      <c r="R126" s="40">
        <v>5528.3908099999999</v>
      </c>
      <c r="S126" s="18"/>
      <c r="T126" s="18"/>
    </row>
    <row r="127" spans="1:20" s="10" customFormat="1" ht="11.25" customHeight="1" x14ac:dyDescent="0.2">
      <c r="A127" s="50"/>
      <c r="B127" s="50"/>
      <c r="C127" s="92" t="s">
        <v>119</v>
      </c>
      <c r="D127" s="92"/>
      <c r="E127" s="39">
        <f>11491493/1000</f>
        <v>11491.493</v>
      </c>
      <c r="F127" s="39">
        <f>12955699/1000</f>
        <v>12955.699000000001</v>
      </c>
      <c r="G127" s="39">
        <f>9959074/1000</f>
        <v>9959.0740000000005</v>
      </c>
      <c r="H127" s="39">
        <f>9830616/1000</f>
        <v>9830.616</v>
      </c>
      <c r="I127" s="39">
        <f>8157270/1000</f>
        <v>8157.27</v>
      </c>
      <c r="J127" s="39">
        <v>8277</v>
      </c>
      <c r="K127" s="39">
        <v>8266</v>
      </c>
      <c r="L127" s="39">
        <v>8550</v>
      </c>
      <c r="M127" s="39">
        <v>8501</v>
      </c>
      <c r="N127" s="39">
        <v>8889</v>
      </c>
      <c r="O127" s="39">
        <v>9174</v>
      </c>
      <c r="P127" s="39">
        <v>9317</v>
      </c>
      <c r="Q127" s="39">
        <v>9031.482</v>
      </c>
      <c r="R127" s="40">
        <v>9060.4732399999994</v>
      </c>
      <c r="S127" s="18"/>
      <c r="T127" s="18"/>
    </row>
    <row r="128" spans="1:20" s="10" customFormat="1" ht="11.25" customHeight="1" x14ac:dyDescent="0.2">
      <c r="A128" s="50"/>
      <c r="B128" s="50"/>
      <c r="C128" s="92" t="s">
        <v>120</v>
      </c>
      <c r="D128" s="92"/>
      <c r="E128" s="39">
        <f>5837069/1000</f>
        <v>5837.0690000000004</v>
      </c>
      <c r="F128" s="39">
        <f>6052382/1000</f>
        <v>6052.3819999999996</v>
      </c>
      <c r="G128" s="39">
        <f>10576262/1000</f>
        <v>10576.262000000001</v>
      </c>
      <c r="H128" s="39">
        <f>18074000/1000</f>
        <v>18074</v>
      </c>
      <c r="I128" s="39">
        <f>19382912/1000</f>
        <v>19382.912</v>
      </c>
      <c r="J128" s="39">
        <v>19194</v>
      </c>
      <c r="K128" s="39">
        <v>23890</v>
      </c>
      <c r="L128" s="39">
        <v>25727</v>
      </c>
      <c r="M128" s="39">
        <v>33858</v>
      </c>
      <c r="N128" s="39">
        <v>37170</v>
      </c>
      <c r="O128" s="39">
        <v>39541</v>
      </c>
      <c r="P128" s="39">
        <v>40813</v>
      </c>
      <c r="Q128" s="39">
        <v>42082.464999999997</v>
      </c>
      <c r="R128" s="40">
        <v>41928.409020000006</v>
      </c>
      <c r="S128" s="18"/>
      <c r="T128" s="18"/>
    </row>
    <row r="129" spans="1:20" s="10" customFormat="1" ht="11.25" customHeight="1" x14ac:dyDescent="0.2">
      <c r="A129" s="50"/>
      <c r="B129" s="50"/>
      <c r="C129" s="92" t="s">
        <v>121</v>
      </c>
      <c r="D129" s="92"/>
      <c r="E129" s="39">
        <f>1101541/1000</f>
        <v>1101.5409999999999</v>
      </c>
      <c r="F129" s="39">
        <f>1085575/1000</f>
        <v>1085.575</v>
      </c>
      <c r="G129" s="39">
        <f>996862/1000</f>
        <v>996.86199999999997</v>
      </c>
      <c r="H129" s="39">
        <f>1126375/1000</f>
        <v>1126.375</v>
      </c>
      <c r="I129" s="39">
        <f>1114916/1000</f>
        <v>1114.9159999999999</v>
      </c>
      <c r="J129" s="39">
        <v>1117</v>
      </c>
      <c r="K129" s="39">
        <v>1253</v>
      </c>
      <c r="L129" s="39">
        <v>1201</v>
      </c>
      <c r="M129" s="39">
        <v>1128</v>
      </c>
      <c r="N129" s="39">
        <v>1117</v>
      </c>
      <c r="O129" s="39">
        <v>911</v>
      </c>
      <c r="P129" s="39">
        <v>941</v>
      </c>
      <c r="Q129" s="39">
        <v>973.32</v>
      </c>
      <c r="R129" s="40">
        <v>922.08069999999998</v>
      </c>
      <c r="S129" s="18"/>
      <c r="T129" s="18"/>
    </row>
    <row r="130" spans="1:20" s="10" customFormat="1" ht="11.25" customHeight="1" x14ac:dyDescent="0.2">
      <c r="A130" s="50"/>
      <c r="B130" s="50"/>
      <c r="C130" s="92" t="s">
        <v>122</v>
      </c>
      <c r="D130" s="92"/>
      <c r="E130" s="39">
        <f>831320/1000</f>
        <v>831.32</v>
      </c>
      <c r="F130" s="39">
        <f>942075/1000</f>
        <v>942.07500000000005</v>
      </c>
      <c r="G130" s="39">
        <f>907889/1000</f>
        <v>907.88900000000001</v>
      </c>
      <c r="H130" s="39">
        <f>878024/1000</f>
        <v>878.024</v>
      </c>
      <c r="I130" s="39">
        <f>963074/1000</f>
        <v>963.07399999999996</v>
      </c>
      <c r="J130" s="39">
        <v>958</v>
      </c>
      <c r="K130" s="39">
        <v>1047</v>
      </c>
      <c r="L130" s="39">
        <v>1099</v>
      </c>
      <c r="M130" s="39">
        <v>1133</v>
      </c>
      <c r="N130" s="39">
        <v>1148</v>
      </c>
      <c r="O130" s="39">
        <v>1031</v>
      </c>
      <c r="P130" s="39">
        <v>1020</v>
      </c>
      <c r="Q130" s="39">
        <v>1014.79</v>
      </c>
      <c r="R130" s="40">
        <v>1024.5640000000001</v>
      </c>
      <c r="S130" s="18"/>
      <c r="T130" s="18"/>
    </row>
    <row r="131" spans="1:20" s="10" customFormat="1" ht="11.25" customHeight="1" x14ac:dyDescent="0.2">
      <c r="A131" s="50"/>
      <c r="B131" s="50"/>
      <c r="C131" s="93" t="s">
        <v>123</v>
      </c>
      <c r="D131" s="93"/>
      <c r="E131" s="58">
        <f>15734648/1000</f>
        <v>15734.647999999999</v>
      </c>
      <c r="F131" s="58">
        <f>14028174/1000</f>
        <v>14028.174000000001</v>
      </c>
      <c r="G131" s="58">
        <f>14658001/1000</f>
        <v>14658.001</v>
      </c>
      <c r="H131" s="58">
        <f>24179816/1000</f>
        <v>24179.815999999999</v>
      </c>
      <c r="I131" s="58">
        <f>22062964/1000</f>
        <v>22062.964</v>
      </c>
      <c r="J131" s="58">
        <v>19205</v>
      </c>
      <c r="K131" s="58">
        <v>19143</v>
      </c>
      <c r="L131" s="58">
        <v>18932</v>
      </c>
      <c r="M131" s="58">
        <v>21485</v>
      </c>
      <c r="N131" s="58">
        <v>21000</v>
      </c>
      <c r="O131" s="58">
        <v>24236</v>
      </c>
      <c r="P131" s="58">
        <v>21576</v>
      </c>
      <c r="Q131" s="58">
        <v>21594.446</v>
      </c>
      <c r="R131" s="59">
        <v>22612.340550000001</v>
      </c>
      <c r="S131" s="18"/>
      <c r="T131" s="18"/>
    </row>
    <row r="132" spans="1:20" s="10" customFormat="1" ht="5.2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2"/>
      <c r="Q132" s="83"/>
      <c r="R132" s="83"/>
      <c r="S132" s="18"/>
      <c r="T132" s="18"/>
    </row>
    <row r="133" spans="1:20" s="10" customFormat="1" ht="12" x14ac:dyDescent="0.2">
      <c r="A133" s="112" t="s">
        <v>230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82"/>
      <c r="Q133" s="83"/>
      <c r="R133" s="83"/>
      <c r="S133" s="18"/>
      <c r="T133" s="18"/>
    </row>
    <row r="134" spans="1:20" s="10" customFormat="1" ht="5.2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2"/>
      <c r="Q134" s="83"/>
      <c r="R134" s="83"/>
      <c r="S134" s="18"/>
      <c r="T134" s="18"/>
    </row>
    <row r="135" spans="1:20" s="10" customFormat="1" ht="12" x14ac:dyDescent="0.2">
      <c r="A135" s="82" t="s">
        <v>124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3"/>
      <c r="R135" s="83"/>
      <c r="S135" s="18"/>
      <c r="T135" s="18"/>
    </row>
    <row r="136" spans="1:20" s="16" customFormat="1" ht="5.25" customHeight="1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3"/>
      <c r="R136" s="83"/>
      <c r="S136" s="20"/>
      <c r="T136" s="20"/>
    </row>
    <row r="137" spans="1:20" s="15" customFormat="1" ht="11.25" x14ac:dyDescent="0.2">
      <c r="A137" s="82" t="s">
        <v>126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3"/>
      <c r="R137" s="83"/>
      <c r="S137" s="19"/>
      <c r="T137" s="19"/>
    </row>
    <row r="138" spans="1:20" s="15" customFormat="1" ht="11.25" x14ac:dyDescent="0.2">
      <c r="A138" s="82" t="s">
        <v>125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3"/>
      <c r="R138" s="83"/>
      <c r="S138" s="19"/>
      <c r="T138" s="19"/>
    </row>
  </sheetData>
  <mergeCells count="137">
    <mergeCell ref="A1:R1"/>
    <mergeCell ref="A2:R2"/>
    <mergeCell ref="C11:D11"/>
    <mergeCell ref="C12:D12"/>
    <mergeCell ref="C13:D13"/>
    <mergeCell ref="C14:D14"/>
    <mergeCell ref="C15:D15"/>
    <mergeCell ref="A5:D5"/>
    <mergeCell ref="A6:D6"/>
    <mergeCell ref="A8:D8"/>
    <mergeCell ref="B9:D9"/>
    <mergeCell ref="C10:D10"/>
    <mergeCell ref="C16:D16"/>
    <mergeCell ref="C17:D17"/>
    <mergeCell ref="C18:D18"/>
    <mergeCell ref="B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D30"/>
    <mergeCell ref="C31:D31"/>
    <mergeCell ref="C32:D32"/>
    <mergeCell ref="C33:D33"/>
    <mergeCell ref="C34:D34"/>
    <mergeCell ref="B35:D35"/>
    <mergeCell ref="C36:D36"/>
    <mergeCell ref="C37:D37"/>
    <mergeCell ref="C38:D38"/>
    <mergeCell ref="B39:D39"/>
    <mergeCell ref="C40:D40"/>
    <mergeCell ref="C41:D41"/>
    <mergeCell ref="C42:D42"/>
    <mergeCell ref="B43:D43"/>
    <mergeCell ref="C44:D44"/>
    <mergeCell ref="C45:D45"/>
    <mergeCell ref="C46:D46"/>
    <mergeCell ref="B47:D47"/>
    <mergeCell ref="C48:D48"/>
    <mergeCell ref="C49:D49"/>
    <mergeCell ref="C50:D50"/>
    <mergeCell ref="C51:D51"/>
    <mergeCell ref="C52:D52"/>
    <mergeCell ref="C53:D53"/>
    <mergeCell ref="C54:D54"/>
    <mergeCell ref="C55:D55"/>
    <mergeCell ref="B56:D56"/>
    <mergeCell ref="C57:D57"/>
    <mergeCell ref="C58:D58"/>
    <mergeCell ref="C59:D59"/>
    <mergeCell ref="C60:D60"/>
    <mergeCell ref="C61:D61"/>
    <mergeCell ref="B62:D62"/>
    <mergeCell ref="C63:D63"/>
    <mergeCell ref="B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74:D74"/>
    <mergeCell ref="B75:D75"/>
    <mergeCell ref="C76:D76"/>
    <mergeCell ref="C77:D77"/>
    <mergeCell ref="C78:D78"/>
    <mergeCell ref="C79:D79"/>
    <mergeCell ref="C80:D80"/>
    <mergeCell ref="C81:D81"/>
    <mergeCell ref="B82:D82"/>
    <mergeCell ref="C83:D83"/>
    <mergeCell ref="C84:D84"/>
    <mergeCell ref="B85:D85"/>
    <mergeCell ref="C86:D86"/>
    <mergeCell ref="C87:D87"/>
    <mergeCell ref="C88:D88"/>
    <mergeCell ref="C89:D89"/>
    <mergeCell ref="C90:D90"/>
    <mergeCell ref="C91:D91"/>
    <mergeCell ref="C92:D92"/>
    <mergeCell ref="B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B104:D104"/>
    <mergeCell ref="C105:D105"/>
    <mergeCell ref="C129:D129"/>
    <mergeCell ref="C130:D130"/>
    <mergeCell ref="B106:D106"/>
    <mergeCell ref="C107:D107"/>
    <mergeCell ref="C108:D108"/>
    <mergeCell ref="C109:D109"/>
    <mergeCell ref="B110:D110"/>
    <mergeCell ref="C111:D111"/>
    <mergeCell ref="C112:D112"/>
    <mergeCell ref="C113:D113"/>
    <mergeCell ref="C114:D114"/>
    <mergeCell ref="A136:R136"/>
    <mergeCell ref="A137:R137"/>
    <mergeCell ref="A138:R138"/>
    <mergeCell ref="A3:R3"/>
    <mergeCell ref="A4:R4"/>
    <mergeCell ref="A7:R7"/>
    <mergeCell ref="A132:R132"/>
    <mergeCell ref="A133:R133"/>
    <mergeCell ref="C131:D131"/>
    <mergeCell ref="B122:D122"/>
    <mergeCell ref="C123:D123"/>
    <mergeCell ref="C124:D124"/>
    <mergeCell ref="C125:D125"/>
    <mergeCell ref="C126:D126"/>
    <mergeCell ref="C127:D127"/>
    <mergeCell ref="A134:R134"/>
    <mergeCell ref="A135:R135"/>
    <mergeCell ref="C115:D115"/>
    <mergeCell ref="B116:D116"/>
    <mergeCell ref="C117:D117"/>
    <mergeCell ref="C118:D118"/>
    <mergeCell ref="B120:D120"/>
    <mergeCell ref="C121:D121"/>
    <mergeCell ref="C128:D128"/>
  </mergeCells>
  <phoneticPr fontId="0" type="noConversion"/>
  <pageMargins left="0" right="0" top="0" bottom="0" header="0" footer="0"/>
  <pageSetup paperSize="9" scale="80" orientation="landscape" r:id="rId1"/>
  <headerFooter alignWithMargins="0"/>
  <ignoredErrors>
    <ignoredError sqref="J56:Q56 J93:P93 J116:Q116" formulaRange="1"/>
    <ignoredError sqref="J35 H112 I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Serie, dal 2014</vt:lpstr>
      <vt:lpstr>Serie, 2000-2013</vt:lpstr>
      <vt:lpstr>'Serie, 2000-2013'!Titoli_stampa</vt:lpstr>
      <vt:lpstr>'Serie, dal 2014'!Titoli_stampa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Conto di gestione corrente del Cantone Ticino (in mille franchi), dal 2000</dc:title>
  <dc:creator>Nepomuceno Ralf</dc:creator>
  <cp:lastModifiedBy>Nepomuceno Ralf / t000534</cp:lastModifiedBy>
  <cp:lastPrinted>2018-04-13T09:33:22Z</cp:lastPrinted>
  <dcterms:created xsi:type="dcterms:W3CDTF">2003-12-31T06:21:25Z</dcterms:created>
  <dcterms:modified xsi:type="dcterms:W3CDTF">2023-07-04T06:29:32Z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-699538868</vt:i4>
  </property>
  <property fmtid="{D5CDD505-2E9C-101B-9397-08002B2CF9AE}" pid="3" name="_EmailSubject">
    <vt:lpwstr/>
  </property>
  <property fmtid="{D5CDD505-2E9C-101B-9397-08002B2CF9AE}" pid="4" name="_AuthorEmail">
    <vt:lpwstr>lorella.pioppi@ti.ch</vt:lpwstr>
  </property>
  <property fmtid="{D5CDD505-2E9C-101B-9397-08002B2CF9AE}" pid="5" name="_AuthorEmailDisplayName">
    <vt:lpwstr>Pioppi Lorella</vt:lpwstr>
  </property>
  <property fmtid="{D5CDD505-2E9C-101B-9397-08002B2CF9AE}" pid="6" name="_ReviewingToolsShownOnce">
    <vt:lpwstr/>
  </property>
</Properties>
</file>