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8 Amministrazione e finanze pubbliche\"/>
    </mc:Choice>
  </mc:AlternateContent>
  <bookViews>
    <workbookView xWindow="1440" yWindow="1305" windowWidth="15480" windowHeight="8325" tabRatio="615"/>
  </bookViews>
  <sheets>
    <sheet name="Serie, dal 2014" sheetId="3" r:id="rId1"/>
    <sheet name="Serie, 2000-2013" sheetId="1" r:id="rId2"/>
  </sheets>
  <calcPr calcId="162913"/>
</workbook>
</file>

<file path=xl/calcChain.xml><?xml version="1.0" encoding="utf-8"?>
<calcChain xmlns="http://schemas.openxmlformats.org/spreadsheetml/2006/main">
  <c r="P57" i="1" l="1"/>
  <c r="P22" i="1"/>
  <c r="P59" i="1"/>
  <c r="P52" i="1"/>
  <c r="P49" i="1"/>
  <c r="P46" i="1"/>
  <c r="P40" i="1"/>
  <c r="P35" i="1"/>
  <c r="P34" i="1"/>
  <c r="P29" i="1"/>
  <c r="P15" i="1"/>
  <c r="P8" i="1"/>
  <c r="P9" i="1"/>
  <c r="O52" i="1"/>
  <c r="O49" i="1"/>
  <c r="O46" i="1"/>
  <c r="O40" i="1"/>
  <c r="O35" i="1"/>
  <c r="O34" i="1"/>
  <c r="O29" i="1"/>
  <c r="O22" i="1"/>
  <c r="O15" i="1"/>
  <c r="O9" i="1"/>
  <c r="O8" i="1"/>
  <c r="G60" i="1"/>
  <c r="F60" i="1"/>
  <c r="F59" i="1"/>
  <c r="E60" i="1"/>
  <c r="E59" i="1"/>
  <c r="D60" i="1"/>
  <c r="I59" i="1"/>
  <c r="H59" i="1"/>
  <c r="G59" i="1"/>
  <c r="D59" i="1"/>
  <c r="H58" i="1"/>
  <c r="H57" i="1"/>
  <c r="G58" i="1"/>
  <c r="F58" i="1"/>
  <c r="E58" i="1"/>
  <c r="D58" i="1"/>
  <c r="G57" i="1"/>
  <c r="F57" i="1"/>
  <c r="E57" i="1"/>
  <c r="D57" i="1"/>
  <c r="H56" i="1"/>
  <c r="G56" i="1"/>
  <c r="F56" i="1"/>
  <c r="E56" i="1"/>
  <c r="D56" i="1"/>
  <c r="H55" i="1"/>
  <c r="H52" i="1"/>
  <c r="G55" i="1"/>
  <c r="F55" i="1"/>
  <c r="E55" i="1"/>
  <c r="D55" i="1"/>
  <c r="D52" i="1"/>
  <c r="H54" i="1"/>
  <c r="G54" i="1"/>
  <c r="F54" i="1"/>
  <c r="E54" i="1"/>
  <c r="D54" i="1"/>
  <c r="H53" i="1"/>
  <c r="G53" i="1"/>
  <c r="G52" i="1"/>
  <c r="F53" i="1"/>
  <c r="F52" i="1"/>
  <c r="E53" i="1"/>
  <c r="D53" i="1"/>
  <c r="N52" i="1"/>
  <c r="M52" i="1"/>
  <c r="L52" i="1"/>
  <c r="K52" i="1"/>
  <c r="J52" i="1"/>
  <c r="I52" i="1"/>
  <c r="E52" i="1"/>
  <c r="H51" i="1"/>
  <c r="G51" i="1"/>
  <c r="F51" i="1"/>
  <c r="E51" i="1"/>
  <c r="D51" i="1"/>
  <c r="H50" i="1"/>
  <c r="G50" i="1"/>
  <c r="G49" i="1"/>
  <c r="F50" i="1"/>
  <c r="F49" i="1"/>
  <c r="E50" i="1"/>
  <c r="D50" i="1"/>
  <c r="N49" i="1"/>
  <c r="M49" i="1"/>
  <c r="L49" i="1"/>
  <c r="K49" i="1"/>
  <c r="I49" i="1"/>
  <c r="H49" i="1"/>
  <c r="E49" i="1"/>
  <c r="D49" i="1"/>
  <c r="G48" i="1"/>
  <c r="F48" i="1"/>
  <c r="E48" i="1"/>
  <c r="D48" i="1"/>
  <c r="H47" i="1"/>
  <c r="G47" i="1"/>
  <c r="G46" i="1"/>
  <c r="F47" i="1"/>
  <c r="F46" i="1"/>
  <c r="E47" i="1"/>
  <c r="D47" i="1"/>
  <c r="N46" i="1"/>
  <c r="I46" i="1"/>
  <c r="H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F43" i="1"/>
  <c r="E43" i="1"/>
  <c r="D43" i="1"/>
  <c r="H42" i="1"/>
  <c r="H40" i="1"/>
  <c r="G42" i="1"/>
  <c r="G40" i="1"/>
  <c r="F42" i="1"/>
  <c r="E42" i="1"/>
  <c r="D42" i="1"/>
  <c r="F41" i="1"/>
  <c r="E41" i="1"/>
  <c r="D41" i="1"/>
  <c r="D40" i="1"/>
  <c r="N40" i="1"/>
  <c r="N34" i="1"/>
  <c r="M40" i="1"/>
  <c r="L40" i="1"/>
  <c r="K40" i="1"/>
  <c r="J40" i="1"/>
  <c r="J34" i="1"/>
  <c r="I40" i="1"/>
  <c r="F40" i="1"/>
  <c r="E40" i="1"/>
  <c r="F38" i="1"/>
  <c r="D38" i="1"/>
  <c r="G37" i="1"/>
  <c r="F37" i="1"/>
  <c r="E37" i="1"/>
  <c r="D37" i="1"/>
  <c r="H36" i="1"/>
  <c r="G36" i="1"/>
  <c r="F36" i="1"/>
  <c r="F35" i="1"/>
  <c r="E36" i="1"/>
  <c r="E35" i="1"/>
  <c r="E34" i="1"/>
  <c r="D36" i="1"/>
  <c r="N35" i="1"/>
  <c r="M35" i="1"/>
  <c r="M34" i="1"/>
  <c r="L35" i="1"/>
  <c r="L34" i="1"/>
  <c r="K35" i="1"/>
  <c r="J35" i="1"/>
  <c r="I35" i="1"/>
  <c r="H35" i="1"/>
  <c r="H34" i="1"/>
  <c r="G35" i="1"/>
  <c r="D35" i="1"/>
  <c r="K34" i="1"/>
  <c r="H33" i="1"/>
  <c r="G33" i="1"/>
  <c r="F33" i="1"/>
  <c r="E33" i="1"/>
  <c r="D33" i="1"/>
  <c r="H32" i="1"/>
  <c r="G32" i="1"/>
  <c r="G29" i="1"/>
  <c r="F32" i="1"/>
  <c r="E32" i="1"/>
  <c r="D32" i="1"/>
  <c r="H31" i="1"/>
  <c r="G31" i="1"/>
  <c r="F31" i="1"/>
  <c r="E31" i="1"/>
  <c r="D31" i="1"/>
  <c r="H30" i="1"/>
  <c r="G30" i="1"/>
  <c r="F30" i="1"/>
  <c r="F29" i="1"/>
  <c r="E30" i="1"/>
  <c r="E29" i="1"/>
  <c r="D30" i="1"/>
  <c r="N29" i="1"/>
  <c r="M29" i="1"/>
  <c r="L29" i="1"/>
  <c r="K29" i="1"/>
  <c r="J29" i="1"/>
  <c r="I29" i="1"/>
  <c r="H29" i="1"/>
  <c r="D29" i="1"/>
  <c r="H28" i="1"/>
  <c r="G28" i="1"/>
  <c r="E28" i="1"/>
  <c r="D28" i="1"/>
  <c r="H27" i="1"/>
  <c r="G27" i="1"/>
  <c r="F27" i="1"/>
  <c r="E27" i="1"/>
  <c r="D27" i="1"/>
  <c r="H26" i="1"/>
  <c r="G26" i="1"/>
  <c r="F26" i="1"/>
  <c r="F22" i="1"/>
  <c r="E26" i="1"/>
  <c r="D26" i="1"/>
  <c r="H25" i="1"/>
  <c r="G25" i="1"/>
  <c r="F25" i="1"/>
  <c r="E25" i="1"/>
  <c r="H24" i="1"/>
  <c r="G24" i="1"/>
  <c r="F24" i="1"/>
  <c r="E24" i="1"/>
  <c r="D24" i="1"/>
  <c r="H23" i="1"/>
  <c r="H22" i="1"/>
  <c r="G23" i="1"/>
  <c r="F23" i="1"/>
  <c r="E23" i="1"/>
  <c r="E22" i="1"/>
  <c r="D23" i="1"/>
  <c r="D22" i="1"/>
  <c r="N22" i="1"/>
  <c r="M22" i="1"/>
  <c r="L22" i="1"/>
  <c r="K22" i="1"/>
  <c r="J22" i="1"/>
  <c r="I22" i="1"/>
  <c r="G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F15" i="1"/>
  <c r="E19" i="1"/>
  <c r="D19" i="1"/>
  <c r="H18" i="1"/>
  <c r="G18" i="1"/>
  <c r="F18" i="1"/>
  <c r="E18" i="1"/>
  <c r="D18" i="1"/>
  <c r="H17" i="1"/>
  <c r="H15" i="1"/>
  <c r="G17" i="1"/>
  <c r="F17" i="1"/>
  <c r="E17" i="1"/>
  <c r="D17" i="1"/>
  <c r="I16" i="1"/>
  <c r="I15" i="1"/>
  <c r="H16" i="1"/>
  <c r="E16" i="1"/>
  <c r="E15" i="1"/>
  <c r="D16" i="1"/>
  <c r="D15" i="1"/>
  <c r="N15" i="1"/>
  <c r="M15" i="1"/>
  <c r="L15" i="1"/>
  <c r="K15" i="1"/>
  <c r="J15" i="1"/>
  <c r="G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F9" i="1"/>
  <c r="E12" i="1"/>
  <c r="D12" i="1"/>
  <c r="H11" i="1"/>
  <c r="G11" i="1"/>
  <c r="F11" i="1"/>
  <c r="E11" i="1"/>
  <c r="D11" i="1"/>
  <c r="H10" i="1"/>
  <c r="H9" i="1"/>
  <c r="G10" i="1"/>
  <c r="F10" i="1"/>
  <c r="E10" i="1"/>
  <c r="E9" i="1"/>
  <c r="D10" i="1"/>
  <c r="D9" i="1"/>
  <c r="N9" i="1"/>
  <c r="M9" i="1"/>
  <c r="L9" i="1"/>
  <c r="L8" i="1"/>
  <c r="K9" i="1"/>
  <c r="K8" i="1"/>
  <c r="J9" i="1"/>
  <c r="I9" i="1"/>
  <c r="G9" i="1"/>
  <c r="N8" i="1"/>
  <c r="M8" i="1"/>
  <c r="J8" i="1"/>
  <c r="D8" i="1"/>
  <c r="F34" i="1"/>
  <c r="H8" i="1"/>
  <c r="F8" i="1"/>
  <c r="D34" i="1"/>
  <c r="G8" i="1"/>
  <c r="E8" i="1"/>
  <c r="G34" i="1"/>
</calcChain>
</file>

<file path=xl/sharedStrings.xml><?xml version="1.0" encoding="utf-8"?>
<sst xmlns="http://schemas.openxmlformats.org/spreadsheetml/2006/main" count="131" uniqueCount="120">
  <si>
    <r>
      <t>Conto degli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dal 2000</t>
    </r>
  </si>
  <si>
    <t>Uscite per investimenti</t>
  </si>
  <si>
    <t>Investimenti in beni amministrativi</t>
  </si>
  <si>
    <t>Opere del genio civile</t>
  </si>
  <si>
    <t>Costruzioni edili</t>
  </si>
  <si>
    <t>Boschi</t>
  </si>
  <si>
    <t>Mobili, macchine, veicoli e attrezzature</t>
  </si>
  <si>
    <t>Altri investimenti in beni amministrativi</t>
  </si>
  <si>
    <t>Prestiti e partecipazioni in beni amministrativi</t>
  </si>
  <si>
    <t>Prestiti e partecipazioni alla confederazione</t>
  </si>
  <si>
    <t>Prestiti e partecipazioni a comuni e consorzi comunali</t>
  </si>
  <si>
    <t>Prestiti e partecipazioni a istituti propri</t>
  </si>
  <si>
    <t>Prestiti e partecipazioni a imprese ad economia mista</t>
  </si>
  <si>
    <t>Prestiti e partecipazioni a istituzioni private</t>
  </si>
  <si>
    <t>Prestiti e partecipazioni a economie private</t>
  </si>
  <si>
    <t>Contributi per investimenti</t>
  </si>
  <si>
    <t>Contributi per investimenti alla confederazione</t>
  </si>
  <si>
    <t>Contributi per investimenti a comuni e consorzi comunali</t>
  </si>
  <si>
    <t>Contributi per investimenti a istituti propri</t>
  </si>
  <si>
    <t>Contributi per investimenti a imprese ad economia mista</t>
  </si>
  <si>
    <t>Contributi per investimenti a istituzioni private</t>
  </si>
  <si>
    <t>Contributi per investimenti a economie private</t>
  </si>
  <si>
    <t>Riversamento contributi per investimenti</t>
  </si>
  <si>
    <t>Riversamento contributi per invest. a imprese economia mista</t>
  </si>
  <si>
    <t>Riversamento contributi per invest. a istituzioni private</t>
  </si>
  <si>
    <t>Riversamento contributi per invest. a economie private</t>
  </si>
  <si>
    <t>Entrate per investimenti</t>
  </si>
  <si>
    <t>Alienazione di beni amministrativi</t>
  </si>
  <si>
    <t>Alienazione di opere del genio civile</t>
  </si>
  <si>
    <t>Alienazione di costruzioni edili</t>
  </si>
  <si>
    <t>Alienazione di mobili, macchine, veicoli e attrezzature</t>
  </si>
  <si>
    <t>Alienazione di altri beni amministrativi</t>
  </si>
  <si>
    <t>…</t>
  </si>
  <si>
    <t>Rimborso prestiti e partecipazioni</t>
  </si>
  <si>
    <t>Rimborso prestiti e partecipazioni dalla Confederazione</t>
  </si>
  <si>
    <t>Rimborso prestiti e partecipazioni da comuni e consorzi comunali</t>
  </si>
  <si>
    <t>Rimborso prestiti e partecipazioni da imprese economia mista</t>
  </si>
  <si>
    <t>Rimborso prestiti e partecipazioni da istituzioni private</t>
  </si>
  <si>
    <t>Rimborso prestiti e partecipazioni da economie private</t>
  </si>
  <si>
    <t>Rimborsi per investimenti</t>
  </si>
  <si>
    <t>Rimborsi per opere del genio civile</t>
  </si>
  <si>
    <t>Rimborsi per costruzioni edili</t>
  </si>
  <si>
    <t>Restituzione contributi per investimenti</t>
  </si>
  <si>
    <t>Restituzione contributi per invest. da comuni e consorzi comunali</t>
  </si>
  <si>
    <t>Restituzione contributi per invest. da istituzioni private</t>
  </si>
  <si>
    <t>Contributi da terzi per investimenti in beni amministrativi</t>
  </si>
  <si>
    <t>Contributi per investimenti dalla Confederazione</t>
  </si>
  <si>
    <t>Contributi per investimenti da comuni e consorzi comunali</t>
  </si>
  <si>
    <t>Contributi per investimenti da istituti propri</t>
  </si>
  <si>
    <t>Contributi per investimenti da altri enti</t>
  </si>
  <si>
    <t>Contributi da terzi per investimenti da riversare</t>
  </si>
  <si>
    <t>Contributi dalla confederazione per investimenti da riversare</t>
  </si>
  <si>
    <t>Riporto ammortamenti dei beni amministrativi</t>
  </si>
  <si>
    <t>Riporto ammortamenti ordinari dei beni amministrativi</t>
  </si>
  <si>
    <t>Fonte: "Consuntivo", Repubblica e Cantone del Ticino, Bellinzona</t>
  </si>
  <si>
    <t>T_180203_12C</t>
  </si>
  <si>
    <t>Riversamento contributi per invest. a comuni e consorzi comunali</t>
  </si>
  <si>
    <t>Ustat, ultima modifica: 08.05.2014</t>
  </si>
  <si>
    <t>Investimenti materiali</t>
  </si>
  <si>
    <t>Terreni</t>
  </si>
  <si>
    <t>Strade / vie di comunicazione</t>
  </si>
  <si>
    <t>Sistemazione dei corsi d'acqua e laghi</t>
  </si>
  <si>
    <t>Immobili</t>
  </si>
  <si>
    <t>Beni mobili</t>
  </si>
  <si>
    <t>Altri investimenti materiali</t>
  </si>
  <si>
    <t>Investimenti per conto di terzi</t>
  </si>
  <si>
    <t>Prestiti</t>
  </si>
  <si>
    <t>Prestiti alla Confederazione</t>
  </si>
  <si>
    <t>Prestiti ai comuni e consorzi comunali</t>
  </si>
  <si>
    <t>Prestiti alle imprese pubbliche</t>
  </si>
  <si>
    <t>Prestiti alle imprese private</t>
  </si>
  <si>
    <t>Prestiti alle organizzazioni private senza scopo di lucro</t>
  </si>
  <si>
    <t>Prestiti alle economie domestiche private</t>
  </si>
  <si>
    <t>Partecipazioni e capitali sociali</t>
  </si>
  <si>
    <t>Partecipazioni nelle imprese pubbliche</t>
  </si>
  <si>
    <t>Contributi per investimenti di terzi</t>
  </si>
  <si>
    <t>Contributi alla Confederazione</t>
  </si>
  <si>
    <t>Contributi ai comuni e consorzi comunali</t>
  </si>
  <si>
    <t>Contributi alle imprese pubbliche</t>
  </si>
  <si>
    <t>Contributi alle imprese private</t>
  </si>
  <si>
    <t>Contributi alle organizzazioni private senza scopo di lucro</t>
  </si>
  <si>
    <t>Contributi alle economie domestiche private</t>
  </si>
  <si>
    <t>Riversamento contributi ai comuni e consorzi comunali</t>
  </si>
  <si>
    <t>Riversamento contributi alle imprese private</t>
  </si>
  <si>
    <t>Riversamento contributi alle organizzazioni private senza scopo di lucro</t>
  </si>
  <si>
    <t>Riversamento contributi alle economie domestiche private</t>
  </si>
  <si>
    <t>Trasferimento di investimenti materiali nei beni patrimoniali</t>
  </si>
  <si>
    <t>Trasferimento strade</t>
  </si>
  <si>
    <t>Trasferimento altri investimenti materiali</t>
  </si>
  <si>
    <t>Rimborso investimenti per conto di terzi</t>
  </si>
  <si>
    <t>Rimborso investimenti per conto di terzi - strade</t>
  </si>
  <si>
    <t>Contributi per investimenti propri</t>
  </si>
  <si>
    <t>Contributi della Confederazione</t>
  </si>
  <si>
    <t>Contributi da comuni e consorzi comunali</t>
  </si>
  <si>
    <t>Contributi da imprese private</t>
  </si>
  <si>
    <t>Rimborso prestiti dalla Confederazione</t>
  </si>
  <si>
    <t>Rimborso di prestiti</t>
  </si>
  <si>
    <t>Rimborso prestiti dai comuni e consorzi comunali</t>
  </si>
  <si>
    <t>Rimborso prestiti dalle imprese pubbliche</t>
  </si>
  <si>
    <t>Rimborso prestiti dalle imprese private</t>
  </si>
  <si>
    <t>Rimborso prestiti dalle organizzazioni private senza scopo di lucro</t>
  </si>
  <si>
    <t>Rimborso prestiti dalle economie domestiche private</t>
  </si>
  <si>
    <t>Rimborso contributi per investimenti di terzi</t>
  </si>
  <si>
    <t>Rimborso contributi dai comuni e consorzi comunali</t>
  </si>
  <si>
    <t>Rimborso contributi dalle imprese private</t>
  </si>
  <si>
    <t>Rimborso contributi dalle economie domestiche private</t>
  </si>
  <si>
    <t>Prelevamento dalle riserve fondi</t>
  </si>
  <si>
    <t>Contributi per investimenti da riversare</t>
  </si>
  <si>
    <t>Contributi dalla Confederazione da riversare</t>
  </si>
  <si>
    <t>Contributi da imprese pubbliche da riversare</t>
  </si>
  <si>
    <t>Avvertenza: nel corso del 2014 il Cantone ha introdotto il nuovo modello contabile armonizzato per Cantoni e Comuni (MCA2). L'introduzione del MCA2 comporta quindi un'interruzione di serie (v. a. le Definizioni). I dati a partire dal 2014 sono presentati secondo il MCA2, i dati fino al 2013 secondo il MCA1.</t>
  </si>
  <si>
    <r>
      <t>1</t>
    </r>
    <r>
      <rPr>
        <sz val="8"/>
        <rFont val="Arial"/>
        <family val="2"/>
      </rPr>
      <t>Eventuali differenze tra le somme dei valori e i totali presentati, come pure tra questi ultimi e quelli che figurano nella tabella T_180203_08C, sono dovute ad arrotondamenti.</t>
    </r>
  </si>
  <si>
    <r>
      <t>Conto degli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dal 2014</t>
    </r>
  </si>
  <si>
    <t>Partecipazioni nelle organizzazioni private senza scopo di lucro</t>
  </si>
  <si>
    <t>Contributi da comuni e consorzi comunali da riversare</t>
  </si>
  <si>
    <t>Contributi da cantoni e concordati</t>
  </si>
  <si>
    <t>Contributi da organizzazioni private senza scopo di lucro</t>
  </si>
  <si>
    <t>Contributi da imprese pubbliche</t>
  </si>
  <si>
    <t>Rimborso contributi dalla Confederazione</t>
  </si>
  <si>
    <t>Ustat, ultima modifica: 27.06.2023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</si>
</sst>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3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/>
    <xf numFmtId="3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/>
    </xf>
    <xf numFmtId="3" fontId="4" fillId="0" borderId="4" xfId="0" applyNumberFormat="1" applyFont="1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0" xfId="0" applyNumberFormat="1" applyFont="1" applyBorder="1"/>
    <xf numFmtId="0" fontId="3" fillId="0" borderId="0" xfId="0" applyFont="1" applyBorder="1" applyAlignment="1">
      <alignment vertical="top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/>
    <xf numFmtId="0" fontId="8" fillId="0" borderId="0" xfId="0" applyFont="1" applyBorder="1" applyAlignment="1">
      <alignment horizontal="left"/>
    </xf>
    <xf numFmtId="3" fontId="8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/>
    </xf>
    <xf numFmtId="3" fontId="5" fillId="0" borderId="6" xfId="0" applyNumberFormat="1" applyFont="1" applyBorder="1"/>
    <xf numFmtId="0" fontId="5" fillId="0" borderId="5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right" vertical="top"/>
    </xf>
    <xf numFmtId="3" fontId="5" fillId="0" borderId="6" xfId="0" applyNumberFormat="1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5" xfId="0" applyFont="1" applyBorder="1"/>
    <xf numFmtId="0" fontId="5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0" xfId="0" applyFont="1" applyBorder="1"/>
    <xf numFmtId="0" fontId="5" fillId="0" borderId="6" xfId="0" applyFont="1" applyBorder="1" applyAlignment="1"/>
    <xf numFmtId="0" fontId="5" fillId="0" borderId="5" xfId="0" applyFont="1" applyBorder="1" applyAlignment="1"/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vertical="top" wrapText="1"/>
    </xf>
    <xf numFmtId="3" fontId="8" fillId="0" borderId="6" xfId="0" applyNumberFormat="1" applyFont="1" applyBorder="1" applyAlignment="1">
      <alignment horizontal="right" vertical="top"/>
    </xf>
    <xf numFmtId="3" fontId="8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3" fontId="5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7" xfId="0" applyFont="1" applyBorder="1" applyAlignment="1">
      <alignment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top"/>
    </xf>
    <xf numFmtId="0" fontId="5" fillId="0" borderId="7" xfId="0" applyFont="1" applyBorder="1"/>
    <xf numFmtId="0" fontId="5" fillId="0" borderId="5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3" fontId="8" fillId="0" borderId="5" xfId="0" applyNumberFormat="1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78"/>
  <sheetViews>
    <sheetView tabSelected="1" zoomScaleNormal="100" workbookViewId="0">
      <pane ySplit="7" topLeftCell="A32" activePane="bottomLeft" state="frozen"/>
      <selection pane="bottomLeft" sqref="A1:L1"/>
    </sheetView>
  </sheetViews>
  <sheetFormatPr defaultRowHeight="12.75" x14ac:dyDescent="0.2"/>
  <cols>
    <col min="1" max="2" width="1.7109375" customWidth="1"/>
    <col min="3" max="3" width="57.7109375" customWidth="1"/>
    <col min="4" max="12" width="12.85546875" customWidth="1"/>
  </cols>
  <sheetData>
    <row r="1" spans="1:12" ht="12.7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 customHeight="1" x14ac:dyDescent="0.2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2.7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" customHeight="1" x14ac:dyDescent="0.2">
      <c r="A5" s="77"/>
      <c r="B5" s="77"/>
      <c r="C5" s="77"/>
      <c r="D5" s="63">
        <v>2014</v>
      </c>
      <c r="E5" s="63">
        <v>2015</v>
      </c>
      <c r="F5" s="63">
        <v>2016</v>
      </c>
      <c r="G5" s="63">
        <v>2017</v>
      </c>
      <c r="H5" s="63">
        <v>2018</v>
      </c>
      <c r="I5" s="5">
        <v>2019</v>
      </c>
      <c r="J5" s="6">
        <v>2020</v>
      </c>
      <c r="K5" s="6">
        <v>2021</v>
      </c>
      <c r="L5" s="6">
        <v>2022</v>
      </c>
    </row>
    <row r="6" spans="1:12" ht="12" customHeight="1" x14ac:dyDescent="0.2">
      <c r="A6" s="78"/>
      <c r="B6" s="78"/>
      <c r="C6" s="78"/>
      <c r="D6" s="64"/>
      <c r="E6" s="64"/>
      <c r="F6" s="64"/>
      <c r="G6" s="64"/>
      <c r="H6" s="64"/>
      <c r="I6" s="9"/>
      <c r="J6" s="10"/>
      <c r="K6" s="10"/>
      <c r="L6" s="10"/>
    </row>
    <row r="7" spans="1:12" ht="12" customHeight="1" x14ac:dyDescent="0.2">
      <c r="A7" s="83"/>
      <c r="B7" s="83"/>
      <c r="C7" s="83"/>
      <c r="D7" s="71"/>
      <c r="E7" s="71"/>
      <c r="F7" s="71"/>
      <c r="G7" s="71"/>
      <c r="H7" s="71"/>
      <c r="I7" s="71"/>
      <c r="J7" s="72"/>
      <c r="K7" s="73"/>
      <c r="L7" s="71"/>
    </row>
    <row r="8" spans="1:12" ht="11.25" customHeight="1" x14ac:dyDescent="0.2">
      <c r="A8" s="79" t="s">
        <v>1</v>
      </c>
      <c r="B8" s="79"/>
      <c r="C8" s="79"/>
      <c r="D8" s="24">
        <v>326752.67131000001</v>
      </c>
      <c r="E8" s="24">
        <v>320087.29668000003</v>
      </c>
      <c r="F8" s="24">
        <v>285338.48401000001</v>
      </c>
      <c r="G8" s="24">
        <v>352331.46616000001</v>
      </c>
      <c r="H8" s="24">
        <v>420919.33504999999</v>
      </c>
      <c r="I8" s="24">
        <v>390096.33055999997</v>
      </c>
      <c r="J8" s="24">
        <v>370886.36872999999</v>
      </c>
      <c r="K8" s="24">
        <v>384712.21278</v>
      </c>
      <c r="L8" s="24">
        <v>445384.25910000002</v>
      </c>
    </row>
    <row r="9" spans="1:12" ht="11.25" customHeight="1" x14ac:dyDescent="0.2">
      <c r="A9" s="26"/>
      <c r="B9" s="80" t="s">
        <v>58</v>
      </c>
      <c r="C9" s="80"/>
      <c r="D9" s="27">
        <v>148802.28576</v>
      </c>
      <c r="E9" s="27">
        <v>151188.56185999999</v>
      </c>
      <c r="F9" s="27">
        <v>133314.12125999999</v>
      </c>
      <c r="G9" s="27">
        <v>135096.21401</v>
      </c>
      <c r="H9" s="27">
        <v>127194.13219999999</v>
      </c>
      <c r="I9" s="27">
        <v>151933.60582</v>
      </c>
      <c r="J9" s="27">
        <v>159851.43457000001</v>
      </c>
      <c r="K9" s="27">
        <v>171934.62953999999</v>
      </c>
      <c r="L9" s="27">
        <v>231499.05854999999</v>
      </c>
    </row>
    <row r="10" spans="1:12" ht="11.25" customHeight="1" x14ac:dyDescent="0.2">
      <c r="A10" s="28"/>
      <c r="B10" s="28"/>
      <c r="C10" s="29" t="s">
        <v>59</v>
      </c>
      <c r="D10" s="30">
        <v>539.79597000000001</v>
      </c>
      <c r="E10" s="30">
        <v>732.32754999999997</v>
      </c>
      <c r="F10" s="30">
        <v>217.34989999999999</v>
      </c>
      <c r="G10" s="30">
        <v>791.69293000000005</v>
      </c>
      <c r="H10" s="30">
        <v>1117.0251699999999</v>
      </c>
      <c r="I10" s="30">
        <v>1394.8993499999999</v>
      </c>
      <c r="J10" s="30">
        <v>578.70304999999996</v>
      </c>
      <c r="K10" s="30">
        <v>1982.7476799999999</v>
      </c>
      <c r="L10" s="30">
        <v>16465.29595</v>
      </c>
    </row>
    <row r="11" spans="1:12" ht="11.25" customHeight="1" x14ac:dyDescent="0.2">
      <c r="A11" s="28"/>
      <c r="B11" s="28"/>
      <c r="C11" s="29" t="s">
        <v>60</v>
      </c>
      <c r="D11" s="30">
        <v>96169.148149999994</v>
      </c>
      <c r="E11" s="30">
        <v>101968.73082</v>
      </c>
      <c r="F11" s="30">
        <v>87232.408909999998</v>
      </c>
      <c r="G11" s="30">
        <v>85496.969509999995</v>
      </c>
      <c r="H11" s="30">
        <v>77249.291830000002</v>
      </c>
      <c r="I11" s="30">
        <v>86894.775240000003</v>
      </c>
      <c r="J11" s="30">
        <v>105157.12273</v>
      </c>
      <c r="K11" s="30">
        <v>123482.59308999999</v>
      </c>
      <c r="L11" s="30">
        <v>131396.29393000001</v>
      </c>
    </row>
    <row r="12" spans="1:12" ht="11.25" customHeight="1" x14ac:dyDescent="0.2">
      <c r="A12" s="28"/>
      <c r="B12" s="28"/>
      <c r="C12" s="29" t="s">
        <v>61</v>
      </c>
      <c r="D12" s="30">
        <v>23.402699999999999</v>
      </c>
      <c r="E12" s="30">
        <v>675.16809999999998</v>
      </c>
      <c r="F12" s="30">
        <v>164.11662999999999</v>
      </c>
      <c r="G12" s="30">
        <v>397.26049999999998</v>
      </c>
      <c r="H12" s="30">
        <v>165.41481999999999</v>
      </c>
      <c r="I12" s="30">
        <v>175.01546999999999</v>
      </c>
      <c r="J12" s="30">
        <v>445.83112</v>
      </c>
      <c r="K12" s="30">
        <v>278.99831999999998</v>
      </c>
      <c r="L12" s="30">
        <v>391.30520000000001</v>
      </c>
    </row>
    <row r="13" spans="1:12" ht="11.25" customHeight="1" x14ac:dyDescent="0.2">
      <c r="A13" s="28"/>
      <c r="B13" s="28"/>
      <c r="C13" s="29" t="s">
        <v>62</v>
      </c>
      <c r="D13" s="30">
        <v>36088.164859999997</v>
      </c>
      <c r="E13" s="30">
        <v>37085.176729999999</v>
      </c>
      <c r="F13" s="30">
        <v>36311.6921</v>
      </c>
      <c r="G13" s="30">
        <v>38612.00836</v>
      </c>
      <c r="H13" s="30">
        <v>36026.832240000003</v>
      </c>
      <c r="I13" s="30">
        <v>50248.479160000003</v>
      </c>
      <c r="J13" s="30">
        <v>38428.552089999997</v>
      </c>
      <c r="K13" s="30">
        <v>29611.630099999998</v>
      </c>
      <c r="L13" s="30">
        <v>61804.166749999997</v>
      </c>
    </row>
    <row r="14" spans="1:12" ht="11.25" customHeight="1" x14ac:dyDescent="0.2">
      <c r="A14" s="28"/>
      <c r="B14" s="28"/>
      <c r="C14" s="29" t="s">
        <v>5</v>
      </c>
      <c r="D14" s="30">
        <v>530.67949999999996</v>
      </c>
      <c r="E14" s="30">
        <v>867.82500000000005</v>
      </c>
      <c r="F14" s="30">
        <v>610.44989999999996</v>
      </c>
      <c r="G14" s="30">
        <v>472.51240999999999</v>
      </c>
      <c r="H14" s="30">
        <v>686.59580000000005</v>
      </c>
      <c r="I14" s="30">
        <v>1140.3630499999999</v>
      </c>
      <c r="J14" s="30">
        <v>1431.9056</v>
      </c>
      <c r="K14" s="30">
        <v>1286.3690999999999</v>
      </c>
      <c r="L14" s="30">
        <v>1781.7157999999999</v>
      </c>
    </row>
    <row r="15" spans="1:12" ht="11.25" customHeight="1" x14ac:dyDescent="0.2">
      <c r="A15" s="28"/>
      <c r="B15" s="28"/>
      <c r="C15" s="29" t="s">
        <v>63</v>
      </c>
      <c r="D15" s="30">
        <v>14424.54255</v>
      </c>
      <c r="E15" s="30">
        <v>8997.2334100000007</v>
      </c>
      <c r="F15" s="30">
        <v>7237.1632600000003</v>
      </c>
      <c r="G15" s="30">
        <v>6266.1142499999996</v>
      </c>
      <c r="H15" s="30">
        <v>8139.7672199999997</v>
      </c>
      <c r="I15" s="30">
        <v>10985.454809999999</v>
      </c>
      <c r="J15" s="30">
        <v>11671.437840000001</v>
      </c>
      <c r="K15" s="30">
        <v>13611.05816</v>
      </c>
      <c r="L15" s="30">
        <v>17145.77752</v>
      </c>
    </row>
    <row r="16" spans="1:12" ht="11.25" customHeight="1" x14ac:dyDescent="0.2">
      <c r="A16" s="28"/>
      <c r="B16" s="32"/>
      <c r="C16" s="29" t="s">
        <v>64</v>
      </c>
      <c r="D16" s="30">
        <v>1026.5520300000001</v>
      </c>
      <c r="E16" s="30">
        <v>862.10024999999996</v>
      </c>
      <c r="F16" s="30">
        <v>1540.94056</v>
      </c>
      <c r="G16" s="30">
        <v>3059.6560500000001</v>
      </c>
      <c r="H16" s="30">
        <v>3809.2051200000001</v>
      </c>
      <c r="I16" s="30">
        <v>1094.6187399999999</v>
      </c>
      <c r="J16" s="30">
        <v>2137.8821400000002</v>
      </c>
      <c r="K16" s="30">
        <v>1681.2329500000001</v>
      </c>
      <c r="L16" s="30">
        <v>2514.5034000000001</v>
      </c>
    </row>
    <row r="17" spans="1:12" ht="11.25" customHeight="1" x14ac:dyDescent="0.2">
      <c r="A17" s="33"/>
      <c r="B17" s="81" t="s">
        <v>65</v>
      </c>
      <c r="C17" s="81"/>
      <c r="D17" s="24">
        <v>616.07725000000005</v>
      </c>
      <c r="E17" s="24">
        <v>1498.1830500000001</v>
      </c>
      <c r="F17" s="24">
        <v>0</v>
      </c>
      <c r="G17" s="24">
        <v>0</v>
      </c>
      <c r="H17" s="24">
        <v>0</v>
      </c>
      <c r="I17" s="27">
        <v>0</v>
      </c>
      <c r="J17" s="27">
        <v>0</v>
      </c>
      <c r="K17" s="27">
        <v>19.828150000000001</v>
      </c>
      <c r="L17" s="27">
        <v>1182.1913400000001</v>
      </c>
    </row>
    <row r="18" spans="1:12" ht="11.25" customHeight="1" x14ac:dyDescent="0.2">
      <c r="A18" s="28"/>
      <c r="B18" s="29"/>
      <c r="C18" s="32" t="s">
        <v>65</v>
      </c>
      <c r="D18" s="50">
        <v>616.07725000000005</v>
      </c>
      <c r="E18" s="50">
        <v>1498.1830500000001</v>
      </c>
      <c r="F18" s="50">
        <v>0</v>
      </c>
      <c r="G18" s="50">
        <v>0</v>
      </c>
      <c r="H18" s="50">
        <v>0</v>
      </c>
      <c r="I18" s="30">
        <v>0</v>
      </c>
      <c r="J18" s="30">
        <v>0</v>
      </c>
      <c r="K18" s="30">
        <v>19.828150000000001</v>
      </c>
      <c r="L18" s="30">
        <v>1182.1913400000001</v>
      </c>
    </row>
    <row r="19" spans="1:12" ht="11.25" customHeight="1" x14ac:dyDescent="0.2">
      <c r="A19" s="34"/>
      <c r="B19" s="82" t="s">
        <v>66</v>
      </c>
      <c r="C19" s="82"/>
      <c r="D19" s="52">
        <v>3747.0659999999998</v>
      </c>
      <c r="E19" s="52">
        <v>3873.48</v>
      </c>
      <c r="F19" s="52">
        <v>4750.9359999999997</v>
      </c>
      <c r="G19" s="52">
        <v>4922.335</v>
      </c>
      <c r="H19" s="52">
        <v>4952.1720000000005</v>
      </c>
      <c r="I19" s="52">
        <v>5170.4009999999998</v>
      </c>
      <c r="J19" s="52">
        <v>5138.6909999999998</v>
      </c>
      <c r="K19" s="52">
        <v>5125.652</v>
      </c>
      <c r="L19" s="52">
        <v>5029.018</v>
      </c>
    </row>
    <row r="20" spans="1:12" ht="11.25" customHeight="1" x14ac:dyDescent="0.2">
      <c r="A20" s="26"/>
      <c r="B20" s="26"/>
      <c r="C20" s="32" t="s">
        <v>67</v>
      </c>
      <c r="D20" s="50">
        <v>63</v>
      </c>
      <c r="E20" s="50">
        <v>63</v>
      </c>
      <c r="F20" s="50">
        <v>173.875</v>
      </c>
      <c r="G20" s="50">
        <v>63</v>
      </c>
      <c r="H20" s="50">
        <v>63</v>
      </c>
      <c r="I20" s="30">
        <v>396.65</v>
      </c>
      <c r="J20" s="30">
        <v>63</v>
      </c>
      <c r="K20" s="30">
        <v>702.31</v>
      </c>
      <c r="L20" s="30">
        <v>765.73500000000001</v>
      </c>
    </row>
    <row r="21" spans="1:12" ht="11.25" customHeight="1" x14ac:dyDescent="0.2">
      <c r="A21" s="38"/>
      <c r="B21" s="38"/>
      <c r="C21" s="35" t="s">
        <v>68</v>
      </c>
      <c r="D21" s="60">
        <v>2104.5</v>
      </c>
      <c r="E21" s="60">
        <v>2128</v>
      </c>
      <c r="F21" s="60">
        <v>1600</v>
      </c>
      <c r="G21" s="60">
        <v>2368.7060000000001</v>
      </c>
      <c r="H21" s="60">
        <v>1796</v>
      </c>
      <c r="I21" s="36">
        <v>1661.6</v>
      </c>
      <c r="J21" s="36">
        <v>1979</v>
      </c>
      <c r="K21" s="36">
        <v>997</v>
      </c>
      <c r="L21" s="36">
        <v>1116</v>
      </c>
    </row>
    <row r="22" spans="1:12" ht="11.25" customHeight="1" x14ac:dyDescent="0.2">
      <c r="A22" s="28"/>
      <c r="B22" s="28"/>
      <c r="C22" s="29" t="s">
        <v>69</v>
      </c>
      <c r="D22" s="30">
        <v>0</v>
      </c>
      <c r="E22" s="30"/>
      <c r="F22" s="30">
        <v>1300</v>
      </c>
      <c r="G22" s="30">
        <v>1000</v>
      </c>
      <c r="H22" s="30">
        <v>1000</v>
      </c>
      <c r="I22" s="30">
        <v>0</v>
      </c>
      <c r="J22" s="30">
        <v>0</v>
      </c>
      <c r="K22" s="30">
        <v>0</v>
      </c>
      <c r="L22" s="30">
        <v>0</v>
      </c>
    </row>
    <row r="23" spans="1:12" ht="11.25" customHeight="1" x14ac:dyDescent="0.2">
      <c r="A23" s="28"/>
      <c r="B23" s="28"/>
      <c r="C23" s="29" t="s">
        <v>70</v>
      </c>
      <c r="D23" s="30">
        <v>11.88</v>
      </c>
      <c r="E23" s="30">
        <v>138.5</v>
      </c>
      <c r="F23" s="30">
        <v>203.2</v>
      </c>
      <c r="G23" s="30">
        <v>0</v>
      </c>
      <c r="H23" s="30">
        <v>331</v>
      </c>
      <c r="I23" s="30">
        <v>0</v>
      </c>
      <c r="J23" s="30">
        <v>11.807</v>
      </c>
      <c r="K23" s="30">
        <v>0</v>
      </c>
      <c r="L23" s="30">
        <v>135.13999999999999</v>
      </c>
    </row>
    <row r="24" spans="1:12" ht="11.25" customHeight="1" x14ac:dyDescent="0.2">
      <c r="A24" s="28"/>
      <c r="B24" s="28"/>
      <c r="C24" s="29" t="s">
        <v>71</v>
      </c>
      <c r="D24" s="30">
        <v>0</v>
      </c>
      <c r="E24" s="30">
        <v>104</v>
      </c>
      <c r="F24" s="30">
        <v>0</v>
      </c>
      <c r="G24" s="30">
        <v>84.5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</row>
    <row r="25" spans="1:12" ht="11.25" customHeight="1" x14ac:dyDescent="0.2">
      <c r="A25" s="28"/>
      <c r="B25" s="32"/>
      <c r="C25" s="29" t="s">
        <v>72</v>
      </c>
      <c r="D25" s="30">
        <v>1567.6859999999999</v>
      </c>
      <c r="E25" s="30">
        <v>1439.98</v>
      </c>
      <c r="F25" s="30">
        <v>1473.8610000000001</v>
      </c>
      <c r="G25" s="30">
        <v>1406.1289999999999</v>
      </c>
      <c r="H25" s="30">
        <v>1762.172</v>
      </c>
      <c r="I25" s="30">
        <v>3112.1509999999998</v>
      </c>
      <c r="J25" s="30">
        <v>3084.884</v>
      </c>
      <c r="K25" s="30">
        <v>3426.3420000000001</v>
      </c>
      <c r="L25" s="30">
        <v>3012.143</v>
      </c>
    </row>
    <row r="26" spans="1:12" ht="11.25" customHeight="1" x14ac:dyDescent="0.2">
      <c r="A26" s="26"/>
      <c r="B26" s="80" t="s">
        <v>73</v>
      </c>
      <c r="C26" s="80"/>
      <c r="D26" s="27">
        <v>40000</v>
      </c>
      <c r="E26" s="27">
        <v>11625</v>
      </c>
      <c r="F26" s="27">
        <v>344</v>
      </c>
      <c r="G26" s="27">
        <v>61136.555</v>
      </c>
      <c r="H26" s="27">
        <v>130000.3</v>
      </c>
      <c r="I26" s="27">
        <v>50000.4</v>
      </c>
      <c r="J26" s="27">
        <v>20000</v>
      </c>
      <c r="K26" s="27">
        <v>0</v>
      </c>
      <c r="L26" s="27">
        <v>0</v>
      </c>
    </row>
    <row r="27" spans="1:12" ht="11.25" customHeight="1" x14ac:dyDescent="0.2">
      <c r="A27" s="28"/>
      <c r="B27" s="68"/>
      <c r="C27" s="32" t="s">
        <v>74</v>
      </c>
      <c r="D27" s="50">
        <v>40000</v>
      </c>
      <c r="E27" s="50">
        <v>11625</v>
      </c>
      <c r="F27" s="50">
        <v>344</v>
      </c>
      <c r="G27" s="50">
        <v>60036.555</v>
      </c>
      <c r="H27" s="50">
        <v>130000</v>
      </c>
      <c r="I27" s="30">
        <v>50000</v>
      </c>
      <c r="J27" s="30">
        <v>20000</v>
      </c>
      <c r="K27" s="30">
        <v>0</v>
      </c>
      <c r="L27" s="30">
        <v>0</v>
      </c>
    </row>
    <row r="28" spans="1:12" ht="11.25" customHeight="1" x14ac:dyDescent="0.2">
      <c r="A28" s="28"/>
      <c r="B28" s="40"/>
      <c r="C28" s="69" t="s">
        <v>113</v>
      </c>
      <c r="D28" s="50">
        <v>0</v>
      </c>
      <c r="E28" s="50">
        <v>0</v>
      </c>
      <c r="F28" s="50">
        <v>0</v>
      </c>
      <c r="G28" s="50">
        <v>1100</v>
      </c>
      <c r="H28" s="50">
        <v>0.3</v>
      </c>
      <c r="I28" s="30">
        <v>0.4</v>
      </c>
      <c r="J28" s="30">
        <v>0</v>
      </c>
      <c r="K28" s="30">
        <v>0</v>
      </c>
      <c r="L28" s="30">
        <v>0</v>
      </c>
    </row>
    <row r="29" spans="1:12" ht="11.25" customHeight="1" x14ac:dyDescent="0.2">
      <c r="A29" s="38"/>
      <c r="B29" s="82" t="s">
        <v>75</v>
      </c>
      <c r="C29" s="82"/>
      <c r="D29" s="52">
        <v>88016.226200000005</v>
      </c>
      <c r="E29" s="52">
        <v>105348.22334000001</v>
      </c>
      <c r="F29" s="52">
        <v>106717.34030000001</v>
      </c>
      <c r="G29" s="52">
        <v>107991.43674999999</v>
      </c>
      <c r="H29" s="52">
        <v>122714.85346999999</v>
      </c>
      <c r="I29" s="52">
        <v>143820.12596</v>
      </c>
      <c r="J29" s="52">
        <v>147083.77330999999</v>
      </c>
      <c r="K29" s="52">
        <v>162896.34361000001</v>
      </c>
      <c r="L29" s="52">
        <v>165709.39212</v>
      </c>
    </row>
    <row r="30" spans="1:12" ht="11.25" customHeight="1" x14ac:dyDescent="0.2">
      <c r="A30" s="28"/>
      <c r="B30" s="13"/>
      <c r="C30" s="32" t="s">
        <v>76</v>
      </c>
      <c r="D30" s="50">
        <v>63.813949999999998</v>
      </c>
      <c r="E30" s="50">
        <v>33.1554</v>
      </c>
      <c r="F30" s="50">
        <v>12.151999999999999</v>
      </c>
      <c r="G30" s="50">
        <v>26.614999999999998</v>
      </c>
      <c r="H30" s="50">
        <v>41.643999999999998</v>
      </c>
      <c r="I30" s="30">
        <v>25.255500000000001</v>
      </c>
      <c r="J30" s="30">
        <v>0</v>
      </c>
      <c r="K30" s="30">
        <v>27.632000000000001</v>
      </c>
      <c r="L30" s="30">
        <v>2.5</v>
      </c>
    </row>
    <row r="31" spans="1:12" ht="11.25" customHeight="1" x14ac:dyDescent="0.2">
      <c r="A31" s="38"/>
      <c r="B31" s="39"/>
      <c r="C31" s="35" t="s">
        <v>77</v>
      </c>
      <c r="D31" s="60">
        <v>47155.66865</v>
      </c>
      <c r="E31" s="60">
        <v>56963.123930000002</v>
      </c>
      <c r="F31" s="60">
        <v>47748.682249999998</v>
      </c>
      <c r="G31" s="60">
        <v>48834.674480000001</v>
      </c>
      <c r="H31" s="60">
        <v>46212.458259999999</v>
      </c>
      <c r="I31" s="36">
        <v>56377.212240000001</v>
      </c>
      <c r="J31" s="36">
        <v>41646.926240000001</v>
      </c>
      <c r="K31" s="36">
        <v>60205.256909999996</v>
      </c>
      <c r="L31" s="36">
        <v>77824.452550000002</v>
      </c>
    </row>
    <row r="32" spans="1:12" ht="11.25" customHeight="1" x14ac:dyDescent="0.2">
      <c r="A32" s="28"/>
      <c r="B32" s="13"/>
      <c r="C32" s="29" t="s">
        <v>78</v>
      </c>
      <c r="D32" s="30">
        <v>5223.2134500000002</v>
      </c>
      <c r="E32" s="30">
        <v>8552.1859999999997</v>
      </c>
      <c r="F32" s="30">
        <v>16563.281650000001</v>
      </c>
      <c r="G32" s="30">
        <v>22240.133699999998</v>
      </c>
      <c r="H32" s="30">
        <v>24003.53975</v>
      </c>
      <c r="I32" s="30">
        <v>38247.24</v>
      </c>
      <c r="J32" s="30">
        <v>42884.805050000003</v>
      </c>
      <c r="K32" s="30">
        <v>41006.694320000002</v>
      </c>
      <c r="L32" s="30">
        <v>23790.173930000001</v>
      </c>
    </row>
    <row r="33" spans="1:12" ht="11.25" customHeight="1" x14ac:dyDescent="0.2">
      <c r="A33" s="28"/>
      <c r="B33" s="13"/>
      <c r="C33" s="29" t="s">
        <v>79</v>
      </c>
      <c r="D33" s="30">
        <v>19706.272000000001</v>
      </c>
      <c r="E33" s="30">
        <v>19667.38176</v>
      </c>
      <c r="F33" s="30">
        <v>24609.47075</v>
      </c>
      <c r="G33" s="30">
        <v>19124.62297</v>
      </c>
      <c r="H33" s="30">
        <v>29904.92266</v>
      </c>
      <c r="I33" s="30">
        <v>27302.254550000001</v>
      </c>
      <c r="J33" s="30">
        <v>34947.768069999998</v>
      </c>
      <c r="K33" s="30">
        <v>33135.324780000003</v>
      </c>
      <c r="L33" s="30">
        <v>25824.787039999999</v>
      </c>
    </row>
    <row r="34" spans="1:12" ht="11.25" customHeight="1" x14ac:dyDescent="0.2">
      <c r="A34" s="28"/>
      <c r="B34" s="13"/>
      <c r="C34" s="29" t="s">
        <v>80</v>
      </c>
      <c r="D34" s="30">
        <v>12268.80315</v>
      </c>
      <c r="E34" s="30">
        <v>15050.43325</v>
      </c>
      <c r="F34" s="30">
        <v>13604.17715</v>
      </c>
      <c r="G34" s="30">
        <v>12874.6286</v>
      </c>
      <c r="H34" s="30">
        <v>14364.3228</v>
      </c>
      <c r="I34" s="30">
        <v>11943.811669999999</v>
      </c>
      <c r="J34" s="30">
        <v>14580.176450000001</v>
      </c>
      <c r="K34" s="30">
        <v>13086.631600000001</v>
      </c>
      <c r="L34" s="30">
        <v>16781.387599999998</v>
      </c>
    </row>
    <row r="35" spans="1:12" ht="11.25" customHeight="1" x14ac:dyDescent="0.2">
      <c r="A35" s="28"/>
      <c r="B35" s="40"/>
      <c r="C35" s="29" t="s">
        <v>81</v>
      </c>
      <c r="D35" s="30">
        <v>3598.4549999999999</v>
      </c>
      <c r="E35" s="30">
        <v>5081.9430000000002</v>
      </c>
      <c r="F35" s="30">
        <v>4179.5765000000001</v>
      </c>
      <c r="G35" s="30">
        <v>4890.7619999999997</v>
      </c>
      <c r="H35" s="30">
        <v>8187.9660000000003</v>
      </c>
      <c r="I35" s="30">
        <v>9924.3520000000008</v>
      </c>
      <c r="J35" s="30">
        <v>13024.0975</v>
      </c>
      <c r="K35" s="30">
        <v>15434.804</v>
      </c>
      <c r="L35" s="30">
        <v>21486.091</v>
      </c>
    </row>
    <row r="36" spans="1:12" ht="11.25" customHeight="1" x14ac:dyDescent="0.2">
      <c r="A36" s="26"/>
      <c r="B36" s="80" t="s">
        <v>22</v>
      </c>
      <c r="C36" s="80"/>
      <c r="D36" s="27">
        <v>45571.016100000001</v>
      </c>
      <c r="E36" s="27">
        <v>46553.848430000005</v>
      </c>
      <c r="F36" s="27">
        <v>40212.086450000003</v>
      </c>
      <c r="G36" s="27">
        <v>43184.9254</v>
      </c>
      <c r="H36" s="27">
        <v>36057.877380000005</v>
      </c>
      <c r="I36" s="27">
        <v>39171.797780000001</v>
      </c>
      <c r="J36" s="27">
        <v>38812.469850000001</v>
      </c>
      <c r="K36" s="27">
        <v>44735.759480000001</v>
      </c>
      <c r="L36" s="27">
        <v>41964.599090000003</v>
      </c>
    </row>
    <row r="37" spans="1:12" ht="11.25" customHeight="1" x14ac:dyDescent="0.2">
      <c r="A37" s="38"/>
      <c r="B37" s="39"/>
      <c r="C37" s="41" t="s">
        <v>82</v>
      </c>
      <c r="D37" s="61">
        <v>33958.414299999997</v>
      </c>
      <c r="E37" s="61">
        <v>36444.341650000002</v>
      </c>
      <c r="F37" s="61">
        <v>32217.638599999998</v>
      </c>
      <c r="G37" s="61">
        <v>34754.652950000003</v>
      </c>
      <c r="H37" s="61">
        <v>31758.489280000002</v>
      </c>
      <c r="I37" s="36">
        <v>35665.087229999997</v>
      </c>
      <c r="J37" s="36">
        <v>36289.683449999997</v>
      </c>
      <c r="K37" s="36">
        <v>40057.279829999999</v>
      </c>
      <c r="L37" s="36">
        <v>35861.059390000002</v>
      </c>
    </row>
    <row r="38" spans="1:12" ht="11.25" customHeight="1" x14ac:dyDescent="0.2">
      <c r="A38" s="38"/>
      <c r="B38" s="39"/>
      <c r="C38" s="35" t="s">
        <v>83</v>
      </c>
      <c r="D38" s="60">
        <v>1846.9754499999999</v>
      </c>
      <c r="E38" s="60">
        <v>119.62853</v>
      </c>
      <c r="F38" s="60">
        <v>73.016850000000005</v>
      </c>
      <c r="G38" s="60">
        <v>42.906999999999996</v>
      </c>
      <c r="H38" s="60">
        <v>484.63605000000001</v>
      </c>
      <c r="I38" s="36">
        <v>266.03070000000002</v>
      </c>
      <c r="J38" s="36">
        <v>68.621750000000006</v>
      </c>
      <c r="K38" s="36">
        <v>202.2167</v>
      </c>
      <c r="L38" s="36">
        <v>33.960450000000002</v>
      </c>
    </row>
    <row r="39" spans="1:12" ht="11.25" customHeight="1" x14ac:dyDescent="0.2">
      <c r="A39" s="38"/>
      <c r="B39" s="39"/>
      <c r="C39" s="35" t="s">
        <v>84</v>
      </c>
      <c r="D39" s="60">
        <v>872.89165000000003</v>
      </c>
      <c r="E39" s="60">
        <v>1320.7328500000001</v>
      </c>
      <c r="F39" s="60">
        <v>495.37779999999998</v>
      </c>
      <c r="G39" s="60">
        <v>3104.6439500000001</v>
      </c>
      <c r="H39" s="60">
        <v>877.60400000000004</v>
      </c>
      <c r="I39" s="36">
        <v>710.85985000000005</v>
      </c>
      <c r="J39" s="36">
        <v>1227.0236500000001</v>
      </c>
      <c r="K39" s="36">
        <v>2815.0929500000002</v>
      </c>
      <c r="L39" s="36">
        <v>5092.4331000000002</v>
      </c>
    </row>
    <row r="40" spans="1:12" ht="11.25" customHeight="1" x14ac:dyDescent="0.2">
      <c r="A40" s="42"/>
      <c r="B40" s="43"/>
      <c r="C40" s="41" t="s">
        <v>85</v>
      </c>
      <c r="D40" s="61">
        <v>8892.7347000000009</v>
      </c>
      <c r="E40" s="61">
        <v>8669.1453999999994</v>
      </c>
      <c r="F40" s="61">
        <v>7426.0532000000003</v>
      </c>
      <c r="G40" s="61">
        <v>5282.7214999999997</v>
      </c>
      <c r="H40" s="61">
        <v>2937.1480499999998</v>
      </c>
      <c r="I40" s="36">
        <v>2529.8200000000002</v>
      </c>
      <c r="J40" s="36">
        <v>1227.1410000000001</v>
      </c>
      <c r="K40" s="36">
        <v>1661.17</v>
      </c>
      <c r="L40" s="36">
        <v>977.14615000000003</v>
      </c>
    </row>
    <row r="41" spans="1:12" ht="11.25" customHeight="1" x14ac:dyDescent="0.2">
      <c r="A41" s="79" t="s">
        <v>26</v>
      </c>
      <c r="B41" s="79"/>
      <c r="C41" s="79"/>
      <c r="D41" s="24">
        <v>118271.87760000001</v>
      </c>
      <c r="E41" s="24">
        <v>114400.65715</v>
      </c>
      <c r="F41" s="24">
        <v>118826.70963999999</v>
      </c>
      <c r="G41" s="24">
        <v>117563.6433</v>
      </c>
      <c r="H41" s="24">
        <v>129271.99939000001</v>
      </c>
      <c r="I41" s="27">
        <v>119759.95023</v>
      </c>
      <c r="J41" s="27">
        <v>119079.80645</v>
      </c>
      <c r="K41" s="27">
        <v>129714.10343</v>
      </c>
      <c r="L41" s="27">
        <v>125403.73415</v>
      </c>
    </row>
    <row r="42" spans="1:12" ht="11.25" customHeight="1" x14ac:dyDescent="0.2">
      <c r="A42" s="26"/>
      <c r="B42" s="80" t="s">
        <v>86</v>
      </c>
      <c r="C42" s="80"/>
      <c r="D42" s="27">
        <v>316.88245000000001</v>
      </c>
      <c r="E42" s="27">
        <v>583.05520000000001</v>
      </c>
      <c r="F42" s="27">
        <v>51.11065</v>
      </c>
      <c r="G42" s="27">
        <v>174.54499999999999</v>
      </c>
      <c r="H42" s="27">
        <v>184.69</v>
      </c>
      <c r="I42" s="27">
        <v>761.19500000000005</v>
      </c>
      <c r="J42" s="27">
        <v>218.74</v>
      </c>
      <c r="K42" s="27">
        <v>1286.364</v>
      </c>
      <c r="L42" s="27">
        <v>127.1</v>
      </c>
    </row>
    <row r="43" spans="1:12" ht="11.25" customHeight="1" x14ac:dyDescent="0.2">
      <c r="A43" s="28"/>
      <c r="B43" s="28"/>
      <c r="C43" s="32" t="s">
        <v>87</v>
      </c>
      <c r="D43" s="50">
        <v>314.48244999999997</v>
      </c>
      <c r="E43" s="50">
        <v>583.05520000000001</v>
      </c>
      <c r="F43" s="50">
        <v>51.11065</v>
      </c>
      <c r="G43" s="50">
        <v>174.54499999999999</v>
      </c>
      <c r="H43" s="50">
        <v>184.69</v>
      </c>
      <c r="I43" s="30">
        <v>761.19500000000005</v>
      </c>
      <c r="J43" s="30">
        <v>218.74</v>
      </c>
      <c r="K43" s="30">
        <v>96.87</v>
      </c>
      <c r="L43" s="30">
        <v>127.1</v>
      </c>
    </row>
    <row r="44" spans="1:12" ht="11.25" customHeight="1" x14ac:dyDescent="0.2">
      <c r="A44" s="28"/>
      <c r="B44" s="28"/>
      <c r="C44" s="59" t="s">
        <v>88</v>
      </c>
      <c r="D44" s="62">
        <v>2.4</v>
      </c>
      <c r="E44" s="62">
        <v>0</v>
      </c>
      <c r="F44" s="62">
        <v>0</v>
      </c>
      <c r="G44" s="62">
        <v>0</v>
      </c>
      <c r="H44" s="62">
        <v>0</v>
      </c>
      <c r="I44" s="30">
        <v>0</v>
      </c>
      <c r="J44" s="30">
        <v>0</v>
      </c>
      <c r="K44" s="30">
        <v>1189.4939999999999</v>
      </c>
      <c r="L44" s="30">
        <v>0</v>
      </c>
    </row>
    <row r="45" spans="1:12" ht="11.25" customHeight="1" x14ac:dyDescent="0.2">
      <c r="A45" s="38"/>
      <c r="B45" s="82" t="s">
        <v>89</v>
      </c>
      <c r="C45" s="82"/>
      <c r="D45" s="52">
        <v>616.08388000000002</v>
      </c>
      <c r="E45" s="52">
        <v>736.09334999999999</v>
      </c>
      <c r="F45" s="52">
        <v>0.28000000000000003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</row>
    <row r="46" spans="1:12" ht="11.25" customHeight="1" x14ac:dyDescent="0.2">
      <c r="A46" s="38"/>
      <c r="B46" s="44"/>
      <c r="C46" s="41" t="s">
        <v>90</v>
      </c>
      <c r="D46" s="61">
        <v>616.08388000000002</v>
      </c>
      <c r="E46" s="61">
        <v>736.09334999999999</v>
      </c>
      <c r="F46" s="61">
        <v>0.28000000000000003</v>
      </c>
      <c r="G46" s="61">
        <v>0</v>
      </c>
      <c r="H46" s="61">
        <v>0</v>
      </c>
      <c r="I46" s="36">
        <v>0</v>
      </c>
      <c r="J46" s="36">
        <v>0</v>
      </c>
      <c r="K46" s="36">
        <v>0</v>
      </c>
      <c r="L46" s="36">
        <v>0</v>
      </c>
    </row>
    <row r="47" spans="1:12" ht="11.25" customHeight="1" x14ac:dyDescent="0.2">
      <c r="A47" s="26"/>
      <c r="B47" s="80" t="s">
        <v>91</v>
      </c>
      <c r="C47" s="80"/>
      <c r="D47" s="27">
        <v>45956.909950000001</v>
      </c>
      <c r="E47" s="27">
        <v>40404.8606</v>
      </c>
      <c r="F47" s="27">
        <v>57076.336059999994</v>
      </c>
      <c r="G47" s="27">
        <v>51098.25073</v>
      </c>
      <c r="H47" s="27">
        <v>69702.94978000001</v>
      </c>
      <c r="I47" s="27">
        <v>57656.62586</v>
      </c>
      <c r="J47" s="27">
        <v>56459.618920000001</v>
      </c>
      <c r="K47" s="27">
        <v>63322.885179999997</v>
      </c>
      <c r="L47" s="27">
        <v>56437.618159999998</v>
      </c>
    </row>
    <row r="48" spans="1:12" ht="11.25" customHeight="1" x14ac:dyDescent="0.2">
      <c r="A48" s="38"/>
      <c r="B48" s="45"/>
      <c r="C48" s="41" t="s">
        <v>92</v>
      </c>
      <c r="D48" s="61">
        <v>27528.627400000001</v>
      </c>
      <c r="E48" s="61">
        <v>22055.9022</v>
      </c>
      <c r="F48" s="61">
        <v>37693.197509999998</v>
      </c>
      <c r="G48" s="61">
        <v>31263.329280000002</v>
      </c>
      <c r="H48" s="61">
        <v>45574.951630000003</v>
      </c>
      <c r="I48" s="36">
        <v>33801.148560000001</v>
      </c>
      <c r="J48" s="36">
        <v>36670.099049999997</v>
      </c>
      <c r="K48" s="36">
        <v>43404.247230000001</v>
      </c>
      <c r="L48" s="36">
        <v>33356.735209999999</v>
      </c>
    </row>
    <row r="49" spans="1:12" ht="11.25" customHeight="1" x14ac:dyDescent="0.2">
      <c r="A49" s="38"/>
      <c r="B49" s="45"/>
      <c r="C49" s="41" t="s">
        <v>115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36">
        <v>240</v>
      </c>
      <c r="J49" s="36">
        <v>157.2587</v>
      </c>
      <c r="K49" s="36">
        <v>10</v>
      </c>
      <c r="L49" s="36">
        <v>60</v>
      </c>
    </row>
    <row r="50" spans="1:12" ht="11.25" customHeight="1" x14ac:dyDescent="0.2">
      <c r="A50" s="38"/>
      <c r="B50" s="38"/>
      <c r="C50" s="35" t="s">
        <v>93</v>
      </c>
      <c r="D50" s="60">
        <v>17161.959500000001</v>
      </c>
      <c r="E50" s="60">
        <v>16992.778900000001</v>
      </c>
      <c r="F50" s="60">
        <v>17472.99595</v>
      </c>
      <c r="G50" s="60">
        <v>18973.039499999999</v>
      </c>
      <c r="H50" s="60">
        <v>22176.93375</v>
      </c>
      <c r="I50" s="36">
        <v>22938.9254</v>
      </c>
      <c r="J50" s="36">
        <v>18275.077000000001</v>
      </c>
      <c r="K50" s="36">
        <v>19007.200250000002</v>
      </c>
      <c r="L50" s="36">
        <v>21455.1558</v>
      </c>
    </row>
    <row r="51" spans="1:12" ht="11.25" customHeight="1" x14ac:dyDescent="0.2">
      <c r="A51" s="38"/>
      <c r="B51" s="38"/>
      <c r="C51" s="35" t="s">
        <v>117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36">
        <v>0</v>
      </c>
      <c r="J51" s="36">
        <v>938.25319999999999</v>
      </c>
      <c r="K51" s="36">
        <v>0</v>
      </c>
      <c r="L51" s="36">
        <v>0</v>
      </c>
    </row>
    <row r="52" spans="1:12" ht="11.25" customHeight="1" x14ac:dyDescent="0.2">
      <c r="A52" s="38"/>
      <c r="B52" s="39"/>
      <c r="C52" s="46" t="s">
        <v>94</v>
      </c>
      <c r="D52" s="60">
        <v>1266.32305</v>
      </c>
      <c r="E52" s="60">
        <v>1356.1795</v>
      </c>
      <c r="F52" s="60">
        <v>1910.1425999999999</v>
      </c>
      <c r="G52" s="60">
        <v>861.88194999999996</v>
      </c>
      <c r="H52" s="60">
        <v>1951.0644</v>
      </c>
      <c r="I52" s="36">
        <v>656.95309999999995</v>
      </c>
      <c r="J52" s="36">
        <v>418.93097</v>
      </c>
      <c r="K52" s="36">
        <v>900.18434999999999</v>
      </c>
      <c r="L52" s="36">
        <v>1565.7271499999999</v>
      </c>
    </row>
    <row r="53" spans="1:12" ht="11.25" customHeight="1" x14ac:dyDescent="0.2">
      <c r="A53" s="38"/>
      <c r="B53" s="39"/>
      <c r="C53" s="46" t="s">
        <v>116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36">
        <v>19.598800000000001</v>
      </c>
      <c r="J53" s="36">
        <v>0</v>
      </c>
      <c r="K53" s="36">
        <v>1.25335</v>
      </c>
      <c r="L53" s="36">
        <v>0</v>
      </c>
    </row>
    <row r="54" spans="1:12" ht="11.25" customHeight="1" x14ac:dyDescent="0.2">
      <c r="A54" s="26"/>
      <c r="B54" s="80" t="s">
        <v>96</v>
      </c>
      <c r="C54" s="80"/>
      <c r="D54" s="27">
        <v>12574.243</v>
      </c>
      <c r="E54" s="27">
        <v>11914.826520000002</v>
      </c>
      <c r="F54" s="27">
        <v>10130.263500000001</v>
      </c>
      <c r="G54" s="27">
        <v>12033.156800000001</v>
      </c>
      <c r="H54" s="27">
        <v>10588.785019999999</v>
      </c>
      <c r="I54" s="27">
        <v>10394.62156</v>
      </c>
      <c r="J54" s="27">
        <v>10101.598099999999</v>
      </c>
      <c r="K54" s="27">
        <v>9322.9433900000004</v>
      </c>
      <c r="L54" s="27">
        <v>9104.4335800000008</v>
      </c>
    </row>
    <row r="55" spans="1:12" ht="11.25" customHeight="1" x14ac:dyDescent="0.2">
      <c r="A55" s="28"/>
      <c r="B55" s="47"/>
      <c r="C55" s="48" t="s">
        <v>95</v>
      </c>
      <c r="D55" s="30">
        <v>763.72500000000002</v>
      </c>
      <c r="E55" s="30">
        <v>447.42500000000001</v>
      </c>
      <c r="F55" s="30">
        <v>0</v>
      </c>
      <c r="G55" s="30">
        <v>834.43100000000004</v>
      </c>
      <c r="H55" s="30">
        <v>376.02499999999998</v>
      </c>
      <c r="I55" s="30">
        <v>0</v>
      </c>
      <c r="J55" s="30">
        <v>216.19</v>
      </c>
      <c r="K55" s="30">
        <v>0</v>
      </c>
      <c r="L55" s="30">
        <v>135.13999999999999</v>
      </c>
    </row>
    <row r="56" spans="1:12" ht="11.25" customHeight="1" x14ac:dyDescent="0.2">
      <c r="A56" s="28"/>
      <c r="B56" s="47"/>
      <c r="C56" s="49" t="s">
        <v>97</v>
      </c>
      <c r="D56" s="50">
        <v>1407.875</v>
      </c>
      <c r="E56" s="50">
        <v>1747.675</v>
      </c>
      <c r="F56" s="50">
        <v>1736.7750000000001</v>
      </c>
      <c r="G56" s="50">
        <v>1660.175</v>
      </c>
      <c r="H56" s="50">
        <v>1729.675</v>
      </c>
      <c r="I56" s="50">
        <v>2121.15</v>
      </c>
      <c r="J56" s="50">
        <v>1888.71</v>
      </c>
      <c r="K56" s="50">
        <v>1762.21</v>
      </c>
      <c r="L56" s="50">
        <v>1944.635</v>
      </c>
    </row>
    <row r="57" spans="1:12" ht="11.25" customHeight="1" x14ac:dyDescent="0.2">
      <c r="A57" s="28"/>
      <c r="B57" s="47"/>
      <c r="C57" s="49" t="s">
        <v>98</v>
      </c>
      <c r="D57" s="50">
        <v>935.697</v>
      </c>
      <c r="E57" s="50">
        <v>935.697</v>
      </c>
      <c r="F57" s="50">
        <v>935.697</v>
      </c>
      <c r="G57" s="50">
        <v>935.697</v>
      </c>
      <c r="H57" s="50">
        <v>935.697</v>
      </c>
      <c r="I57" s="50">
        <v>973.197</v>
      </c>
      <c r="J57" s="50">
        <v>973.197</v>
      </c>
      <c r="K57" s="50">
        <v>973.197</v>
      </c>
      <c r="L57" s="50">
        <v>1408.423</v>
      </c>
    </row>
    <row r="58" spans="1:12" ht="11.25" customHeight="1" x14ac:dyDescent="0.2">
      <c r="A58" s="28"/>
      <c r="B58" s="47"/>
      <c r="C58" s="49" t="s">
        <v>99</v>
      </c>
      <c r="D58" s="50">
        <v>5727.2492000000002</v>
      </c>
      <c r="E58" s="50">
        <v>5372.3832000000002</v>
      </c>
      <c r="F58" s="50">
        <v>5285.2542000000003</v>
      </c>
      <c r="G58" s="50">
        <v>5274.9521999999997</v>
      </c>
      <c r="H58" s="50">
        <v>4694.0640000000003</v>
      </c>
      <c r="I58" s="50">
        <v>4181.558</v>
      </c>
      <c r="J58" s="50">
        <v>4065.5639999999999</v>
      </c>
      <c r="K58" s="50">
        <v>3713.8240000000001</v>
      </c>
      <c r="L58" s="50">
        <v>3057.1039999999998</v>
      </c>
    </row>
    <row r="59" spans="1:12" ht="11.25" customHeight="1" x14ac:dyDescent="0.2">
      <c r="A59" s="28"/>
      <c r="B59" s="47"/>
      <c r="C59" s="49" t="s">
        <v>100</v>
      </c>
      <c r="D59" s="50">
        <v>16.2</v>
      </c>
      <c r="E59" s="50">
        <v>16.2</v>
      </c>
      <c r="F59" s="50">
        <v>16.2</v>
      </c>
      <c r="G59" s="50">
        <v>16.2</v>
      </c>
      <c r="H59" s="50">
        <v>30.5</v>
      </c>
      <c r="I59" s="50">
        <v>30.5</v>
      </c>
      <c r="J59" s="50">
        <v>30.5</v>
      </c>
      <c r="K59" s="50">
        <v>16.2</v>
      </c>
      <c r="L59" s="50">
        <v>39.08</v>
      </c>
    </row>
    <row r="60" spans="1:12" ht="11.25" customHeight="1" x14ac:dyDescent="0.2">
      <c r="A60" s="28"/>
      <c r="B60" s="40"/>
      <c r="C60" s="49" t="s">
        <v>101</v>
      </c>
      <c r="D60" s="50">
        <v>3723.4967999999999</v>
      </c>
      <c r="E60" s="50">
        <v>3395.44632</v>
      </c>
      <c r="F60" s="50">
        <v>2156.3373000000001</v>
      </c>
      <c r="G60" s="50">
        <v>3311.7015999999999</v>
      </c>
      <c r="H60" s="50">
        <v>2822.82402</v>
      </c>
      <c r="I60" s="50">
        <v>3088.2165599999998</v>
      </c>
      <c r="J60" s="50">
        <v>2927.4371000000001</v>
      </c>
      <c r="K60" s="50">
        <v>2857.5123899999999</v>
      </c>
      <c r="L60" s="50">
        <v>2520.0515799999998</v>
      </c>
    </row>
    <row r="61" spans="1:12" ht="11.25" customHeight="1" x14ac:dyDescent="0.2">
      <c r="A61" s="26"/>
      <c r="B61" s="80" t="s">
        <v>102</v>
      </c>
      <c r="C61" s="80"/>
      <c r="D61" s="27">
        <v>13236.74222</v>
      </c>
      <c r="E61" s="27">
        <v>14207.973050000001</v>
      </c>
      <c r="F61" s="27">
        <v>11286.63298</v>
      </c>
      <c r="G61" s="27">
        <v>11072.765369999999</v>
      </c>
      <c r="H61" s="27">
        <v>12737.69721</v>
      </c>
      <c r="I61" s="27">
        <v>11775.71003</v>
      </c>
      <c r="J61" s="27">
        <v>13487.379580000001</v>
      </c>
      <c r="K61" s="27">
        <v>11046.151379999999</v>
      </c>
      <c r="L61" s="27">
        <v>17769.983319999999</v>
      </c>
    </row>
    <row r="62" spans="1:12" ht="11.25" customHeight="1" x14ac:dyDescent="0.2">
      <c r="A62" s="26"/>
      <c r="B62" s="26"/>
      <c r="C62" s="32" t="s">
        <v>118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30">
        <v>0</v>
      </c>
      <c r="J62" s="30">
        <v>0</v>
      </c>
      <c r="K62" s="30">
        <v>0</v>
      </c>
      <c r="L62" s="30">
        <v>20.079999999999998</v>
      </c>
    </row>
    <row r="63" spans="1:12" ht="11.25" customHeight="1" x14ac:dyDescent="0.2">
      <c r="A63" s="38"/>
      <c r="B63" s="45"/>
      <c r="C63" s="51" t="s">
        <v>103</v>
      </c>
      <c r="D63" s="61">
        <v>32.031999999999996</v>
      </c>
      <c r="E63" s="61">
        <v>32.031999999999996</v>
      </c>
      <c r="F63" s="61">
        <v>0</v>
      </c>
      <c r="G63" s="61">
        <v>0</v>
      </c>
      <c r="H63" s="61">
        <v>0</v>
      </c>
      <c r="I63" s="36">
        <v>0</v>
      </c>
      <c r="J63" s="36">
        <v>19.25</v>
      </c>
      <c r="K63" s="36">
        <v>0</v>
      </c>
      <c r="L63" s="36">
        <v>0</v>
      </c>
    </row>
    <row r="64" spans="1:12" ht="11.25" customHeight="1" x14ac:dyDescent="0.2">
      <c r="A64" s="38"/>
      <c r="B64" s="45"/>
      <c r="C64" s="51" t="s">
        <v>104</v>
      </c>
      <c r="D64" s="61">
        <v>13.835000000000001</v>
      </c>
      <c r="E64" s="61">
        <v>88.85</v>
      </c>
      <c r="F64" s="61">
        <v>189.84049999999999</v>
      </c>
      <c r="G64" s="61">
        <v>128.40600000000001</v>
      </c>
      <c r="H64" s="61">
        <v>537.97299999999996</v>
      </c>
      <c r="I64" s="36">
        <v>312.14614999999998</v>
      </c>
      <c r="J64" s="36">
        <v>478.38799999999998</v>
      </c>
      <c r="K64" s="36">
        <v>132.28895</v>
      </c>
      <c r="L64" s="36">
        <v>286.82114999999999</v>
      </c>
    </row>
    <row r="65" spans="1:12" ht="11.25" customHeight="1" x14ac:dyDescent="0.2">
      <c r="A65" s="38"/>
      <c r="B65" s="45"/>
      <c r="C65" s="51" t="s">
        <v>105</v>
      </c>
      <c r="D65" s="61">
        <v>135.64570000000001</v>
      </c>
      <c r="E65" s="61">
        <v>81.036000000000001</v>
      </c>
      <c r="F65" s="61">
        <v>102.767</v>
      </c>
      <c r="G65" s="61">
        <v>83.444999999999993</v>
      </c>
      <c r="H65" s="61">
        <v>134.8383</v>
      </c>
      <c r="I65" s="36">
        <v>80.883499999999998</v>
      </c>
      <c r="J65" s="36">
        <v>1.7729999999999999</v>
      </c>
      <c r="K65" s="36">
        <v>84.531999999999996</v>
      </c>
      <c r="L65" s="36">
        <v>2.4289999999999998</v>
      </c>
    </row>
    <row r="66" spans="1:12" ht="11.25" customHeight="1" x14ac:dyDescent="0.2">
      <c r="A66" s="38"/>
      <c r="B66" s="43"/>
      <c r="C66" s="46" t="s">
        <v>106</v>
      </c>
      <c r="D66" s="60">
        <v>13055.229520000001</v>
      </c>
      <c r="E66" s="60">
        <v>14006.055050000001</v>
      </c>
      <c r="F66" s="60">
        <v>10994.02548</v>
      </c>
      <c r="G66" s="60">
        <v>10860.91437</v>
      </c>
      <c r="H66" s="60">
        <v>12064.885910000001</v>
      </c>
      <c r="I66" s="36">
        <v>11382.68038</v>
      </c>
      <c r="J66" s="36">
        <v>12987.968580000001</v>
      </c>
      <c r="K66" s="36">
        <v>10829.33043</v>
      </c>
      <c r="L66" s="36">
        <v>17460.653170000001</v>
      </c>
    </row>
    <row r="67" spans="1:12" ht="11.25" customHeight="1" x14ac:dyDescent="0.2">
      <c r="A67" s="26"/>
      <c r="B67" s="79" t="s">
        <v>107</v>
      </c>
      <c r="C67" s="79"/>
      <c r="D67" s="24">
        <v>45571.016100000001</v>
      </c>
      <c r="E67" s="24">
        <v>46553.848429999998</v>
      </c>
      <c r="F67" s="24">
        <v>40282.086450000003</v>
      </c>
      <c r="G67" s="24">
        <v>43184.9254</v>
      </c>
      <c r="H67" s="24">
        <v>36057.877379999998</v>
      </c>
      <c r="I67" s="27">
        <v>39171.797780000001</v>
      </c>
      <c r="J67" s="27">
        <v>38812.469850000001</v>
      </c>
      <c r="K67" s="27">
        <v>44735.759480000001</v>
      </c>
      <c r="L67" s="27">
        <v>41964.599090000003</v>
      </c>
    </row>
    <row r="68" spans="1:12" ht="11.25" customHeight="1" x14ac:dyDescent="0.2">
      <c r="A68" s="28"/>
      <c r="B68" s="59"/>
      <c r="C68" s="32" t="s">
        <v>108</v>
      </c>
      <c r="D68" s="50">
        <v>27529.128100000002</v>
      </c>
      <c r="E68" s="50">
        <v>27629.354429999999</v>
      </c>
      <c r="F68" s="50">
        <v>20992.097450000001</v>
      </c>
      <c r="G68" s="50">
        <v>22864.0514</v>
      </c>
      <c r="H68" s="50">
        <v>16253.613380000001</v>
      </c>
      <c r="I68" s="30">
        <v>20595.77578</v>
      </c>
      <c r="J68" s="30">
        <v>19007.608850000001</v>
      </c>
      <c r="K68" s="30">
        <v>24911.29448</v>
      </c>
      <c r="L68" s="30">
        <v>21464.905190000001</v>
      </c>
    </row>
    <row r="69" spans="1:12" ht="11.25" customHeight="1" x14ac:dyDescent="0.2">
      <c r="A69" s="28"/>
      <c r="B69" s="28"/>
      <c r="C69" s="28" t="s">
        <v>114</v>
      </c>
      <c r="D69" s="70">
        <v>0</v>
      </c>
      <c r="E69" s="70">
        <v>0</v>
      </c>
      <c r="F69" s="70">
        <v>0</v>
      </c>
      <c r="G69" s="70">
        <v>0</v>
      </c>
      <c r="H69" s="70">
        <v>30</v>
      </c>
      <c r="I69" s="62">
        <v>134</v>
      </c>
      <c r="J69" s="62">
        <v>0</v>
      </c>
      <c r="K69" s="62">
        <v>44.438000000000002</v>
      </c>
      <c r="L69" s="62">
        <v>146.80590000000001</v>
      </c>
    </row>
    <row r="70" spans="1:12" ht="11.25" customHeight="1" x14ac:dyDescent="0.2">
      <c r="A70" s="38"/>
      <c r="B70" s="45"/>
      <c r="C70" s="65" t="s">
        <v>109</v>
      </c>
      <c r="D70" s="66">
        <v>18041.887999999999</v>
      </c>
      <c r="E70" s="66">
        <v>18924.493999999999</v>
      </c>
      <c r="F70" s="66">
        <v>19289.989000000001</v>
      </c>
      <c r="G70" s="66">
        <v>20320.874</v>
      </c>
      <c r="H70" s="66">
        <v>19774.263999999999</v>
      </c>
      <c r="I70" s="67">
        <v>18442.022000000001</v>
      </c>
      <c r="J70" s="67">
        <v>19804.861000000001</v>
      </c>
      <c r="K70" s="67">
        <v>19780.026999999998</v>
      </c>
      <c r="L70" s="67">
        <v>20352.887999999999</v>
      </c>
    </row>
    <row r="71" spans="1:12" ht="5.25" customHeight="1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</row>
    <row r="72" spans="1:12" ht="22.5" customHeight="1" x14ac:dyDescent="0.2">
      <c r="A72" s="86" t="s">
        <v>110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1:12" ht="11.25" customHeight="1" x14ac:dyDescent="0.2">
      <c r="A73" s="84" t="s">
        <v>111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1:12" ht="6" customHeight="1" x14ac:dyDescent="0.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</row>
    <row r="75" spans="1:12" ht="11.25" customHeight="1" x14ac:dyDescent="0.2">
      <c r="A75" s="85" t="s">
        <v>54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6" spans="1:12" ht="5.25" customHeight="1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</row>
    <row r="77" spans="1:12" ht="11.25" customHeight="1" x14ac:dyDescent="0.2">
      <c r="A77" s="87" t="s">
        <v>119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ht="11.25" customHeight="1" x14ac:dyDescent="0.2">
      <c r="A78" s="85" t="s">
        <v>55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</row>
  </sheetData>
  <mergeCells count="29">
    <mergeCell ref="A74:L74"/>
    <mergeCell ref="A75:L75"/>
    <mergeCell ref="A76:L76"/>
    <mergeCell ref="A77:L77"/>
    <mergeCell ref="A78:L78"/>
    <mergeCell ref="B26:C26"/>
    <mergeCell ref="A7:C7"/>
    <mergeCell ref="A73:L73"/>
    <mergeCell ref="B29:C29"/>
    <mergeCell ref="B36:C36"/>
    <mergeCell ref="A41:C41"/>
    <mergeCell ref="B42:C42"/>
    <mergeCell ref="B45:C45"/>
    <mergeCell ref="B47:C47"/>
    <mergeCell ref="B54:C54"/>
    <mergeCell ref="B61:C61"/>
    <mergeCell ref="B67:C67"/>
    <mergeCell ref="A71:L71"/>
    <mergeCell ref="A72:L72"/>
    <mergeCell ref="A6:C6"/>
    <mergeCell ref="A8:C8"/>
    <mergeCell ref="B9:C9"/>
    <mergeCell ref="B17:C17"/>
    <mergeCell ref="B19:C19"/>
    <mergeCell ref="A1:L1"/>
    <mergeCell ref="A2:L2"/>
    <mergeCell ref="A3:L3"/>
    <mergeCell ref="A4:L4"/>
    <mergeCell ref="A5:C5"/>
  </mergeCells>
  <pageMargins left="0" right="0" top="0" bottom="0" header="0" footer="0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S67"/>
  <sheetViews>
    <sheetView zoomScaleNormal="100" workbookViewId="0">
      <pane ySplit="7" topLeftCell="A8" activePane="bottomLeft" state="frozen"/>
      <selection activeCell="A8" sqref="A8:C8"/>
      <selection pane="bottomLeft" sqref="A1:Q1"/>
    </sheetView>
  </sheetViews>
  <sheetFormatPr defaultRowHeight="12.75" x14ac:dyDescent="0.2"/>
  <cols>
    <col min="1" max="2" width="1.7109375" customWidth="1"/>
    <col min="3" max="3" width="57.7109375" customWidth="1"/>
    <col min="4" max="10" width="12.85546875" style="1" customWidth="1"/>
    <col min="11" max="16" width="12.85546875" customWidth="1"/>
    <col min="17" max="17" width="12.85546875" style="15" customWidth="1"/>
  </cols>
  <sheetData>
    <row r="1" spans="1:18" s="2" customFormat="1" ht="12.7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91"/>
    </row>
    <row r="2" spans="1:18" s="3" customFormat="1" ht="15" customHeight="1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92"/>
      <c r="P2" s="92"/>
      <c r="Q2" s="91"/>
    </row>
    <row r="3" spans="1:18" s="2" customFormat="1" ht="12.7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2"/>
      <c r="P3" s="92"/>
      <c r="Q3" s="91"/>
    </row>
    <row r="4" spans="1:18" s="2" customFormat="1" ht="12.7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93"/>
      <c r="P4" s="93"/>
      <c r="Q4" s="94"/>
    </row>
    <row r="5" spans="1:18" s="4" customFormat="1" ht="12" customHeight="1" x14ac:dyDescent="0.2">
      <c r="A5" s="77"/>
      <c r="B5" s="77"/>
      <c r="C5" s="77"/>
      <c r="D5" s="5">
        <v>2000</v>
      </c>
      <c r="E5" s="5">
        <v>2001</v>
      </c>
      <c r="F5" s="5">
        <v>2002</v>
      </c>
      <c r="G5" s="6">
        <v>2003</v>
      </c>
      <c r="H5" s="6">
        <v>2004</v>
      </c>
      <c r="I5" s="6">
        <v>2005</v>
      </c>
      <c r="J5" s="6">
        <v>2006</v>
      </c>
      <c r="K5" s="7">
        <v>2007</v>
      </c>
      <c r="L5" s="7">
        <v>2008</v>
      </c>
      <c r="M5" s="7">
        <v>2009</v>
      </c>
      <c r="N5" s="7">
        <v>2010</v>
      </c>
      <c r="O5" s="7">
        <v>2011</v>
      </c>
      <c r="P5" s="7">
        <v>2012</v>
      </c>
      <c r="Q5" s="6">
        <v>2013</v>
      </c>
      <c r="R5" s="16"/>
    </row>
    <row r="6" spans="1:18" s="8" customFormat="1" ht="12" customHeight="1" x14ac:dyDescent="0.2">
      <c r="A6" s="78"/>
      <c r="B6" s="78"/>
      <c r="C6" s="78"/>
      <c r="D6" s="9"/>
      <c r="E6" s="9"/>
      <c r="F6" s="9"/>
      <c r="G6" s="10"/>
      <c r="H6" s="11"/>
      <c r="I6" s="11"/>
      <c r="J6" s="11"/>
      <c r="K6" s="12"/>
      <c r="L6" s="12"/>
      <c r="M6" s="12"/>
      <c r="N6" s="12"/>
      <c r="O6" s="12"/>
      <c r="P6" s="12"/>
      <c r="Q6" s="11"/>
      <c r="R6" s="17"/>
    </row>
    <row r="7" spans="1:18" s="8" customFormat="1" ht="12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1:18" s="4" customFormat="1" ht="11.25" customHeight="1" x14ac:dyDescent="0.2">
      <c r="A8" s="79"/>
      <c r="B8" s="79"/>
      <c r="C8" s="79"/>
      <c r="D8" s="24">
        <f>D9+D15+D22+D29</f>
        <v>317807.42200000002</v>
      </c>
      <c r="E8" s="24">
        <f>E9+E15+E22+E29</f>
        <v>361283.07499999995</v>
      </c>
      <c r="F8" s="24">
        <f>F9+F15+F22+F29</f>
        <v>392862.54799999995</v>
      </c>
      <c r="G8" s="24">
        <f>G9+G15+G22+G29</f>
        <v>442779.95200000005</v>
      </c>
      <c r="H8" s="24">
        <f>H9+H15+H22+H29</f>
        <v>382203.09300000005</v>
      </c>
      <c r="I8" s="24">
        <v>332788</v>
      </c>
      <c r="J8" s="24">
        <f t="shared" ref="J8:O8" si="0">J9+J15+J22+J29</f>
        <v>325968</v>
      </c>
      <c r="K8" s="24">
        <f t="shared" si="0"/>
        <v>367549</v>
      </c>
      <c r="L8" s="24">
        <f t="shared" si="0"/>
        <v>315055</v>
      </c>
      <c r="M8" s="24">
        <f t="shared" si="0"/>
        <v>352213</v>
      </c>
      <c r="N8" s="24">
        <f t="shared" si="0"/>
        <v>340214</v>
      </c>
      <c r="O8" s="24">
        <f t="shared" si="0"/>
        <v>358041</v>
      </c>
      <c r="P8" s="24">
        <f>P9+P15+P22+P29</f>
        <v>278921.47199999995</v>
      </c>
      <c r="Q8" s="25">
        <v>378459.65252000006</v>
      </c>
    </row>
    <row r="9" spans="1:18" s="4" customFormat="1" ht="11.25" customHeight="1" x14ac:dyDescent="0.2">
      <c r="A9" s="26"/>
      <c r="B9" s="80" t="s">
        <v>2</v>
      </c>
      <c r="C9" s="80"/>
      <c r="D9" s="27">
        <f t="shared" ref="D9:N9" si="1">SUM(D10:D14)</f>
        <v>198402.30900000001</v>
      </c>
      <c r="E9" s="27">
        <f t="shared" si="1"/>
        <v>232659.50599999999</v>
      </c>
      <c r="F9" s="27">
        <f t="shared" si="1"/>
        <v>256085.535</v>
      </c>
      <c r="G9" s="27">
        <f t="shared" si="1"/>
        <v>300114.58400000003</v>
      </c>
      <c r="H9" s="27">
        <f t="shared" si="1"/>
        <v>270800.10400000005</v>
      </c>
      <c r="I9" s="27">
        <f t="shared" si="1"/>
        <v>219319</v>
      </c>
      <c r="J9" s="27">
        <f t="shared" si="1"/>
        <v>226378</v>
      </c>
      <c r="K9" s="27">
        <f t="shared" si="1"/>
        <v>223024</v>
      </c>
      <c r="L9" s="27">
        <f t="shared" si="1"/>
        <v>217059</v>
      </c>
      <c r="M9" s="27">
        <f t="shared" si="1"/>
        <v>194631</v>
      </c>
      <c r="N9" s="27">
        <f t="shared" si="1"/>
        <v>205568</v>
      </c>
      <c r="O9" s="27">
        <f>SUM(O10:O14)</f>
        <v>196954</v>
      </c>
      <c r="P9" s="27">
        <f>SUM(P10:P14)</f>
        <v>176090.83299999998</v>
      </c>
      <c r="Q9" s="25">
        <v>165350.63007000001</v>
      </c>
    </row>
    <row r="10" spans="1:18" s="8" customFormat="1" ht="11.25" customHeight="1" x14ac:dyDescent="0.2">
      <c r="A10" s="28"/>
      <c r="B10" s="28"/>
      <c r="C10" s="29" t="s">
        <v>3</v>
      </c>
      <c r="D10" s="30">
        <f>133323999/1000</f>
        <v>133323.99900000001</v>
      </c>
      <c r="E10" s="30">
        <f>169259600/1000</f>
        <v>169259.6</v>
      </c>
      <c r="F10" s="30">
        <f>186314401/1000</f>
        <v>186314.40100000001</v>
      </c>
      <c r="G10" s="30">
        <f>197728489/1000</f>
        <v>197728.489</v>
      </c>
      <c r="H10" s="30">
        <f>189908833/1000</f>
        <v>189908.83300000001</v>
      </c>
      <c r="I10" s="30">
        <v>157159</v>
      </c>
      <c r="J10" s="30">
        <v>172592</v>
      </c>
      <c r="K10" s="30">
        <v>165651</v>
      </c>
      <c r="L10" s="30">
        <v>159266</v>
      </c>
      <c r="M10" s="30">
        <v>136911</v>
      </c>
      <c r="N10" s="30">
        <v>137324</v>
      </c>
      <c r="O10" s="30">
        <v>127802</v>
      </c>
      <c r="P10" s="30">
        <v>110409.52499999999</v>
      </c>
      <c r="Q10" s="31">
        <v>101264.53837000001</v>
      </c>
    </row>
    <row r="11" spans="1:18" s="8" customFormat="1" ht="11.25" customHeight="1" x14ac:dyDescent="0.2">
      <c r="A11" s="28"/>
      <c r="B11" s="28"/>
      <c r="C11" s="29" t="s">
        <v>4</v>
      </c>
      <c r="D11" s="30">
        <f>42599589/1000</f>
        <v>42599.589</v>
      </c>
      <c r="E11" s="30">
        <f>42158448/1000</f>
        <v>42158.447999999997</v>
      </c>
      <c r="F11" s="30">
        <f>49688680/1000</f>
        <v>49688.68</v>
      </c>
      <c r="G11" s="30">
        <f>82273596/1000</f>
        <v>82273.596000000005</v>
      </c>
      <c r="H11" s="30">
        <f>68773992/1000</f>
        <v>68773.991999999998</v>
      </c>
      <c r="I11" s="30">
        <v>48848</v>
      </c>
      <c r="J11" s="30">
        <v>41271</v>
      </c>
      <c r="K11" s="30">
        <v>48270</v>
      </c>
      <c r="L11" s="30">
        <v>44280</v>
      </c>
      <c r="M11" s="30">
        <v>46103</v>
      </c>
      <c r="N11" s="30">
        <v>53819</v>
      </c>
      <c r="O11" s="30">
        <v>51995</v>
      </c>
      <c r="P11" s="30">
        <v>50358.576000000001</v>
      </c>
      <c r="Q11" s="31">
        <v>46262.579709999998</v>
      </c>
    </row>
    <row r="12" spans="1:18" s="8" customFormat="1" ht="11.25" customHeight="1" x14ac:dyDescent="0.2">
      <c r="A12" s="28"/>
      <c r="B12" s="28"/>
      <c r="C12" s="29" t="s">
        <v>5</v>
      </c>
      <c r="D12" s="30">
        <f>1271296/1000</f>
        <v>1271.296</v>
      </c>
      <c r="E12" s="30">
        <f>332682/1000</f>
        <v>332.68200000000002</v>
      </c>
      <c r="F12" s="30">
        <f>460642/1000</f>
        <v>460.642</v>
      </c>
      <c r="G12" s="30">
        <f>820948/1000</f>
        <v>820.94799999999998</v>
      </c>
      <c r="H12" s="30">
        <f>562067/1000</f>
        <v>562.06700000000001</v>
      </c>
      <c r="I12" s="30">
        <v>943</v>
      </c>
      <c r="J12" s="30">
        <v>1011</v>
      </c>
      <c r="K12" s="30">
        <v>2046</v>
      </c>
      <c r="L12" s="30">
        <v>1252</v>
      </c>
      <c r="M12" s="30">
        <v>1536</v>
      </c>
      <c r="N12" s="30">
        <v>1414</v>
      </c>
      <c r="O12" s="30">
        <v>644</v>
      </c>
      <c r="P12" s="30">
        <v>1350.7049999999999</v>
      </c>
      <c r="Q12" s="31">
        <v>1644.81834</v>
      </c>
    </row>
    <row r="13" spans="1:18" s="8" customFormat="1" ht="11.25" customHeight="1" x14ac:dyDescent="0.2">
      <c r="A13" s="28"/>
      <c r="B13" s="28"/>
      <c r="C13" s="29" t="s">
        <v>6</v>
      </c>
      <c r="D13" s="30">
        <f>10127702/1000</f>
        <v>10127.701999999999</v>
      </c>
      <c r="E13" s="30">
        <f>9967715/1000</f>
        <v>9967.7150000000001</v>
      </c>
      <c r="F13" s="30">
        <f>14003883/1000</f>
        <v>14003.883</v>
      </c>
      <c r="G13" s="30">
        <f>14922351/1000</f>
        <v>14922.351000000001</v>
      </c>
      <c r="H13" s="30">
        <f>8984127/1000</f>
        <v>8984.1270000000004</v>
      </c>
      <c r="I13" s="30">
        <v>9349</v>
      </c>
      <c r="J13" s="30">
        <v>7123</v>
      </c>
      <c r="K13" s="30">
        <v>3722</v>
      </c>
      <c r="L13" s="30">
        <v>9037</v>
      </c>
      <c r="M13" s="30">
        <v>9090</v>
      </c>
      <c r="N13" s="30">
        <v>11712</v>
      </c>
      <c r="O13" s="30">
        <v>15793</v>
      </c>
      <c r="P13" s="30">
        <v>13190.008</v>
      </c>
      <c r="Q13" s="31">
        <v>14366.966109999999</v>
      </c>
    </row>
    <row r="14" spans="1:18" s="8" customFormat="1" ht="11.25" customHeight="1" x14ac:dyDescent="0.2">
      <c r="A14" s="28"/>
      <c r="B14" s="32"/>
      <c r="C14" s="29" t="s">
        <v>7</v>
      </c>
      <c r="D14" s="30">
        <f>11079723/1000</f>
        <v>11079.723</v>
      </c>
      <c r="E14" s="30">
        <f>10941061/1000</f>
        <v>10941.061</v>
      </c>
      <c r="F14" s="30">
        <f>5617929/1000</f>
        <v>5617.9290000000001</v>
      </c>
      <c r="G14" s="30">
        <f>4369200/1000</f>
        <v>4369.2</v>
      </c>
      <c r="H14" s="30">
        <f>2571085/1000</f>
        <v>2571.085</v>
      </c>
      <c r="I14" s="30">
        <v>3020</v>
      </c>
      <c r="J14" s="30">
        <v>4381</v>
      </c>
      <c r="K14" s="30">
        <v>3335</v>
      </c>
      <c r="L14" s="30">
        <v>3224</v>
      </c>
      <c r="M14" s="30">
        <v>991</v>
      </c>
      <c r="N14" s="30">
        <v>1299</v>
      </c>
      <c r="O14" s="30">
        <v>720</v>
      </c>
      <c r="P14" s="30">
        <v>782.01900000000001</v>
      </c>
      <c r="Q14" s="31">
        <v>1811.7275400000001</v>
      </c>
    </row>
    <row r="15" spans="1:18" s="18" customFormat="1" ht="11.25" customHeight="1" x14ac:dyDescent="0.2">
      <c r="A15" s="33"/>
      <c r="B15" s="81" t="s">
        <v>8</v>
      </c>
      <c r="C15" s="81"/>
      <c r="D15" s="27">
        <f t="shared" ref="D15:N15" si="2">SUM(D16:D21)</f>
        <v>14159.900000000001</v>
      </c>
      <c r="E15" s="27">
        <f t="shared" si="2"/>
        <v>10651.192999999999</v>
      </c>
      <c r="F15" s="27">
        <f t="shared" si="2"/>
        <v>13788.635999999999</v>
      </c>
      <c r="G15" s="27">
        <f t="shared" si="2"/>
        <v>13160.83</v>
      </c>
      <c r="H15" s="27">
        <f t="shared" si="2"/>
        <v>12124.855</v>
      </c>
      <c r="I15" s="27">
        <f t="shared" si="2"/>
        <v>11591</v>
      </c>
      <c r="J15" s="27">
        <f t="shared" si="2"/>
        <v>10392</v>
      </c>
      <c r="K15" s="27">
        <f t="shared" si="2"/>
        <v>8538</v>
      </c>
      <c r="L15" s="27">
        <f t="shared" si="2"/>
        <v>9597</v>
      </c>
      <c r="M15" s="27">
        <f t="shared" si="2"/>
        <v>10195</v>
      </c>
      <c r="N15" s="27">
        <f t="shared" si="2"/>
        <v>5946</v>
      </c>
      <c r="O15" s="27">
        <f>SUM(O16:O21)</f>
        <v>23883</v>
      </c>
      <c r="P15" s="27">
        <f>SUM(P16:P21)</f>
        <v>6073.7620000000006</v>
      </c>
      <c r="Q15" s="25">
        <v>95587.038</v>
      </c>
    </row>
    <row r="16" spans="1:18" s="8" customFormat="1" ht="11.25" customHeight="1" x14ac:dyDescent="0.2">
      <c r="A16" s="28"/>
      <c r="B16" s="28"/>
      <c r="C16" s="32" t="s">
        <v>9</v>
      </c>
      <c r="D16" s="30">
        <f>0/1000</f>
        <v>0</v>
      </c>
      <c r="E16" s="30">
        <f>0/1000</f>
        <v>0</v>
      </c>
      <c r="F16" s="30">
        <v>0</v>
      </c>
      <c r="G16" s="30">
        <v>0</v>
      </c>
      <c r="H16" s="30">
        <f>0/1000</f>
        <v>0</v>
      </c>
      <c r="I16" s="30">
        <f>0/1000</f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s="19" customFormat="1" ht="11.25" customHeight="1" x14ac:dyDescent="0.2">
      <c r="A17" s="34"/>
      <c r="B17" s="34"/>
      <c r="C17" s="35" t="s">
        <v>10</v>
      </c>
      <c r="D17" s="36">
        <f>8631000/1000</f>
        <v>8631</v>
      </c>
      <c r="E17" s="36">
        <f>5205000/1000</f>
        <v>5205</v>
      </c>
      <c r="F17" s="36">
        <f>4970400/1000</f>
        <v>4970.3999999999996</v>
      </c>
      <c r="G17" s="36">
        <f>4180400/1000</f>
        <v>4180.3999999999996</v>
      </c>
      <c r="H17" s="36">
        <f>7286200/1000</f>
        <v>7286.2</v>
      </c>
      <c r="I17" s="36">
        <v>3490</v>
      </c>
      <c r="J17" s="36">
        <v>4594</v>
      </c>
      <c r="K17" s="36">
        <v>4278</v>
      </c>
      <c r="L17" s="36">
        <v>5568</v>
      </c>
      <c r="M17" s="36">
        <v>4980</v>
      </c>
      <c r="N17" s="36">
        <v>2221</v>
      </c>
      <c r="O17" s="30">
        <v>4040</v>
      </c>
      <c r="P17" s="30">
        <v>3472.85</v>
      </c>
      <c r="Q17" s="37">
        <v>3856.3</v>
      </c>
    </row>
    <row r="18" spans="1:17" s="4" customFormat="1" ht="11.25" customHeight="1" x14ac:dyDescent="0.2">
      <c r="A18" s="26"/>
      <c r="B18" s="26"/>
      <c r="C18" s="29" t="s">
        <v>11</v>
      </c>
      <c r="D18" s="30">
        <f>0/1000</f>
        <v>0</v>
      </c>
      <c r="E18" s="30">
        <f>0/1000</f>
        <v>0</v>
      </c>
      <c r="F18" s="30">
        <f>1957764/1000</f>
        <v>1957.7639999999999</v>
      </c>
      <c r="G18" s="30">
        <f>0/1000</f>
        <v>0</v>
      </c>
      <c r="H18" s="30">
        <f>0/1000</f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10000</v>
      </c>
      <c r="P18" s="13">
        <v>0</v>
      </c>
      <c r="Q18" s="31">
        <v>90000</v>
      </c>
    </row>
    <row r="19" spans="1:17" s="20" customFormat="1" ht="11.25" customHeight="1" x14ac:dyDescent="0.2">
      <c r="A19" s="38"/>
      <c r="B19" s="38"/>
      <c r="C19" s="35" t="s">
        <v>12</v>
      </c>
      <c r="D19" s="36">
        <f>0/1000</f>
        <v>0</v>
      </c>
      <c r="E19" s="36">
        <f>0/1000</f>
        <v>0</v>
      </c>
      <c r="F19" s="36">
        <f>0/1000</f>
        <v>0</v>
      </c>
      <c r="G19" s="36">
        <f>2485000/1000</f>
        <v>2485</v>
      </c>
      <c r="H19" s="36">
        <f>0/1000</f>
        <v>0</v>
      </c>
      <c r="I19" s="36">
        <v>3500</v>
      </c>
      <c r="J19" s="36">
        <v>837</v>
      </c>
      <c r="K19" s="36">
        <v>100</v>
      </c>
      <c r="L19" s="36">
        <v>0</v>
      </c>
      <c r="M19" s="36">
        <v>0</v>
      </c>
      <c r="N19" s="36">
        <v>0</v>
      </c>
      <c r="O19" s="30">
        <v>7000</v>
      </c>
      <c r="P19" s="30">
        <v>450</v>
      </c>
      <c r="Q19" s="37">
        <v>0</v>
      </c>
    </row>
    <row r="20" spans="1:17" s="8" customFormat="1" ht="11.25" customHeight="1" x14ac:dyDescent="0.2">
      <c r="A20" s="28"/>
      <c r="B20" s="28"/>
      <c r="C20" s="29" t="s">
        <v>13</v>
      </c>
      <c r="D20" s="30">
        <f>1443700/1000</f>
        <v>1443.7</v>
      </c>
      <c r="E20" s="30">
        <f>1721193/1000</f>
        <v>1721.193</v>
      </c>
      <c r="F20" s="30">
        <f>2901672/1000</f>
        <v>2901.672</v>
      </c>
      <c r="G20" s="30">
        <f>2408400/1000</f>
        <v>2408.4</v>
      </c>
      <c r="H20" s="30">
        <f>839100/1000</f>
        <v>839.1</v>
      </c>
      <c r="I20" s="30">
        <v>572</v>
      </c>
      <c r="J20" s="30">
        <v>929</v>
      </c>
      <c r="K20" s="30">
        <v>128</v>
      </c>
      <c r="L20" s="30">
        <v>47</v>
      </c>
      <c r="M20" s="30">
        <v>1393</v>
      </c>
      <c r="N20" s="30">
        <v>97</v>
      </c>
      <c r="O20" s="30">
        <v>150</v>
      </c>
      <c r="P20" s="30">
        <v>352.16</v>
      </c>
      <c r="Q20" s="31">
        <v>174.5</v>
      </c>
    </row>
    <row r="21" spans="1:17" s="8" customFormat="1" ht="11.25" customHeight="1" x14ac:dyDescent="0.2">
      <c r="A21" s="28"/>
      <c r="B21" s="32"/>
      <c r="C21" s="29" t="s">
        <v>14</v>
      </c>
      <c r="D21" s="30">
        <f>4085200/1000</f>
        <v>4085.2</v>
      </c>
      <c r="E21" s="30">
        <f>3725000/1000</f>
        <v>3725</v>
      </c>
      <c r="F21" s="30">
        <f>3958800/1000</f>
        <v>3958.8</v>
      </c>
      <c r="G21" s="30">
        <f>4087030/1000</f>
        <v>4087.03</v>
      </c>
      <c r="H21" s="30">
        <f>3999555/1000</f>
        <v>3999.5549999999998</v>
      </c>
      <c r="I21" s="30">
        <v>4029</v>
      </c>
      <c r="J21" s="30">
        <v>4032</v>
      </c>
      <c r="K21" s="30">
        <v>4032</v>
      </c>
      <c r="L21" s="30">
        <v>3982</v>
      </c>
      <c r="M21" s="30">
        <v>3822</v>
      </c>
      <c r="N21" s="30">
        <v>3628</v>
      </c>
      <c r="O21" s="30">
        <v>2693</v>
      </c>
      <c r="P21" s="30">
        <v>1798.752</v>
      </c>
      <c r="Q21" s="31">
        <v>1556.2380000000001</v>
      </c>
    </row>
    <row r="22" spans="1:17" s="4" customFormat="1" ht="11.25" customHeight="1" x14ac:dyDescent="0.2">
      <c r="A22" s="26"/>
      <c r="B22" s="80" t="s">
        <v>15</v>
      </c>
      <c r="C22" s="80"/>
      <c r="D22" s="27">
        <f t="shared" ref="D22:N22" si="3">SUM(D23:D28)</f>
        <v>73284.535999999993</v>
      </c>
      <c r="E22" s="27">
        <f t="shared" si="3"/>
        <v>88355.45199999999</v>
      </c>
      <c r="F22" s="27">
        <f t="shared" si="3"/>
        <v>93451.440999999992</v>
      </c>
      <c r="G22" s="27">
        <f t="shared" si="3"/>
        <v>93879.678999999989</v>
      </c>
      <c r="H22" s="27">
        <f t="shared" si="3"/>
        <v>78416.987999999998</v>
      </c>
      <c r="I22" s="27">
        <f t="shared" si="3"/>
        <v>74318</v>
      </c>
      <c r="J22" s="27">
        <f t="shared" si="3"/>
        <v>70539</v>
      </c>
      <c r="K22" s="27">
        <f t="shared" si="3"/>
        <v>114126</v>
      </c>
      <c r="L22" s="27">
        <f t="shared" si="3"/>
        <v>72887</v>
      </c>
      <c r="M22" s="27">
        <f t="shared" si="3"/>
        <v>83274</v>
      </c>
      <c r="N22" s="27">
        <f t="shared" si="3"/>
        <v>100802</v>
      </c>
      <c r="O22" s="27">
        <f>SUM(O23:O28)</f>
        <v>106338</v>
      </c>
      <c r="P22" s="27">
        <f>SUM(P23:P28)</f>
        <v>72743.027000000016</v>
      </c>
      <c r="Q22" s="25">
        <v>79381.286749999999</v>
      </c>
    </row>
    <row r="23" spans="1:17" s="8" customFormat="1" ht="11.25" customHeight="1" x14ac:dyDescent="0.2">
      <c r="A23" s="28"/>
      <c r="B23" s="13"/>
      <c r="C23" s="32" t="s">
        <v>16</v>
      </c>
      <c r="D23" s="30">
        <f>6958/1000</f>
        <v>6.9580000000000002</v>
      </c>
      <c r="E23" s="30">
        <f>11075/1000</f>
        <v>11.074999999999999</v>
      </c>
      <c r="F23" s="30">
        <f>14255/1000</f>
        <v>14.255000000000001</v>
      </c>
      <c r="G23" s="30">
        <f>32155/1000</f>
        <v>32.155000000000001</v>
      </c>
      <c r="H23" s="30">
        <f>45128/1000</f>
        <v>45.128</v>
      </c>
      <c r="I23" s="30">
        <v>36</v>
      </c>
      <c r="J23" s="30">
        <v>15</v>
      </c>
      <c r="K23" s="30">
        <v>42</v>
      </c>
      <c r="L23" s="30">
        <v>98</v>
      </c>
      <c r="M23" s="30">
        <v>21</v>
      </c>
      <c r="N23" s="30">
        <v>27</v>
      </c>
      <c r="O23" s="30">
        <v>4809</v>
      </c>
      <c r="P23" s="30">
        <v>6022.2349999999997</v>
      </c>
      <c r="Q23" s="31">
        <v>582.24225000000001</v>
      </c>
    </row>
    <row r="24" spans="1:17" s="20" customFormat="1" ht="11.25" customHeight="1" x14ac:dyDescent="0.2">
      <c r="A24" s="38"/>
      <c r="B24" s="39"/>
      <c r="C24" s="35" t="s">
        <v>17</v>
      </c>
      <c r="D24" s="36">
        <f>32430170/1000</f>
        <v>32430.17</v>
      </c>
      <c r="E24" s="36">
        <f>41332364/1000</f>
        <v>41332.364000000001</v>
      </c>
      <c r="F24" s="36">
        <f>42241916/1000</f>
        <v>42241.915999999997</v>
      </c>
      <c r="G24" s="36">
        <f>40771601/1000</f>
        <v>40771.601000000002</v>
      </c>
      <c r="H24" s="36">
        <f>33335089/1000</f>
        <v>33335.089</v>
      </c>
      <c r="I24" s="36">
        <v>28605</v>
      </c>
      <c r="J24" s="36">
        <v>27656</v>
      </c>
      <c r="K24" s="36">
        <v>51668</v>
      </c>
      <c r="L24" s="36">
        <v>38429</v>
      </c>
      <c r="M24" s="36">
        <v>39361</v>
      </c>
      <c r="N24" s="36">
        <v>43198</v>
      </c>
      <c r="O24" s="30">
        <v>39737</v>
      </c>
      <c r="P24" s="30">
        <v>32347.195</v>
      </c>
      <c r="Q24" s="37">
        <v>38783.902049999997</v>
      </c>
    </row>
    <row r="25" spans="1:17" s="8" customFormat="1" ht="11.25" customHeight="1" x14ac:dyDescent="0.2">
      <c r="A25" s="28"/>
      <c r="B25" s="13"/>
      <c r="C25" s="29" t="s">
        <v>18</v>
      </c>
      <c r="D25" s="30">
        <v>11000</v>
      </c>
      <c r="E25" s="30">
        <f>11850000/1000</f>
        <v>11850</v>
      </c>
      <c r="F25" s="30">
        <f>0/1000</f>
        <v>0</v>
      </c>
      <c r="G25" s="30">
        <f>576698/1000</f>
        <v>576.69799999999998</v>
      </c>
      <c r="H25" s="30">
        <f>500000/1000</f>
        <v>500</v>
      </c>
      <c r="I25" s="30">
        <v>5300</v>
      </c>
      <c r="J25" s="30">
        <v>4800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3">
        <v>0</v>
      </c>
      <c r="Q25" s="31">
        <v>0</v>
      </c>
    </row>
    <row r="26" spans="1:17" s="20" customFormat="1" ht="11.25" customHeight="1" x14ac:dyDescent="0.2">
      <c r="A26" s="38"/>
      <c r="B26" s="39"/>
      <c r="C26" s="35" t="s">
        <v>19</v>
      </c>
      <c r="D26" s="36">
        <f>1545000/1000</f>
        <v>1545</v>
      </c>
      <c r="E26" s="36">
        <f>5549011/1000</f>
        <v>5549.0110000000004</v>
      </c>
      <c r="F26" s="36">
        <f>2345000/1000</f>
        <v>2345</v>
      </c>
      <c r="G26" s="36">
        <f>969500/1000</f>
        <v>969.5</v>
      </c>
      <c r="H26" s="36">
        <f>426000/1000</f>
        <v>426</v>
      </c>
      <c r="I26" s="36">
        <v>2636</v>
      </c>
      <c r="J26" s="36">
        <v>25</v>
      </c>
      <c r="K26" s="36">
        <v>11284</v>
      </c>
      <c r="L26" s="36">
        <v>887</v>
      </c>
      <c r="M26" s="36">
        <v>808</v>
      </c>
      <c r="N26" s="36">
        <v>8724</v>
      </c>
      <c r="O26" s="30">
        <v>17216</v>
      </c>
      <c r="P26" s="30">
        <v>761.99300000000005</v>
      </c>
      <c r="Q26" s="37">
        <v>2710</v>
      </c>
    </row>
    <row r="27" spans="1:17" s="8" customFormat="1" ht="11.25" customHeight="1" x14ac:dyDescent="0.2">
      <c r="A27" s="28"/>
      <c r="B27" s="13"/>
      <c r="C27" s="29" t="s">
        <v>20</v>
      </c>
      <c r="D27" s="30">
        <f>28302408/1000</f>
        <v>28302.407999999999</v>
      </c>
      <c r="E27" s="30">
        <f>29613002/1000</f>
        <v>29613.002</v>
      </c>
      <c r="F27" s="30">
        <f>48850270/1000</f>
        <v>48850.27</v>
      </c>
      <c r="G27" s="30">
        <f>50708488/1000</f>
        <v>50708.487999999998</v>
      </c>
      <c r="H27" s="30">
        <f>43738434/1000</f>
        <v>43738.434000000001</v>
      </c>
      <c r="I27" s="30">
        <v>37611</v>
      </c>
      <c r="J27" s="30">
        <v>37998</v>
      </c>
      <c r="K27" s="30">
        <v>50455</v>
      </c>
      <c r="L27" s="30">
        <v>32216</v>
      </c>
      <c r="M27" s="30">
        <v>42052</v>
      </c>
      <c r="N27" s="30">
        <v>46013</v>
      </c>
      <c r="O27" s="30">
        <v>42020</v>
      </c>
      <c r="P27" s="30">
        <v>31392.383000000002</v>
      </c>
      <c r="Q27" s="31">
        <v>35389.393049999999</v>
      </c>
    </row>
    <row r="28" spans="1:17" s="8" customFormat="1" ht="11.25" customHeight="1" x14ac:dyDescent="0.2">
      <c r="A28" s="28"/>
      <c r="B28" s="40"/>
      <c r="C28" s="29" t="s">
        <v>21</v>
      </c>
      <c r="D28" s="30">
        <f>0/1000</f>
        <v>0</v>
      </c>
      <c r="E28" s="30">
        <f>0/1000</f>
        <v>0</v>
      </c>
      <c r="F28" s="30">
        <v>0</v>
      </c>
      <c r="G28" s="30">
        <f>821237/1000</f>
        <v>821.23699999999997</v>
      </c>
      <c r="H28" s="30">
        <f>372337/1000</f>
        <v>372.33699999999999</v>
      </c>
      <c r="I28" s="30">
        <v>130</v>
      </c>
      <c r="J28" s="30">
        <v>45</v>
      </c>
      <c r="K28" s="30">
        <v>677</v>
      </c>
      <c r="L28" s="30">
        <v>1257</v>
      </c>
      <c r="M28" s="30">
        <v>1032</v>
      </c>
      <c r="N28" s="30">
        <v>2840</v>
      </c>
      <c r="O28" s="30">
        <v>2556</v>
      </c>
      <c r="P28" s="30">
        <v>2219.221</v>
      </c>
      <c r="Q28" s="31">
        <v>1915.7493999999999</v>
      </c>
    </row>
    <row r="29" spans="1:17" s="4" customFormat="1" ht="11.25" customHeight="1" x14ac:dyDescent="0.2">
      <c r="A29" s="26"/>
      <c r="B29" s="80" t="s">
        <v>22</v>
      </c>
      <c r="C29" s="80"/>
      <c r="D29" s="27">
        <f t="shared" ref="D29:N29" si="4">SUM(D30:D33)</f>
        <v>31960.677</v>
      </c>
      <c r="E29" s="27">
        <f t="shared" si="4"/>
        <v>29616.923999999999</v>
      </c>
      <c r="F29" s="27">
        <f t="shared" si="4"/>
        <v>29536.936000000002</v>
      </c>
      <c r="G29" s="27">
        <f t="shared" si="4"/>
        <v>35624.858999999997</v>
      </c>
      <c r="H29" s="27">
        <f t="shared" si="4"/>
        <v>20861.146000000001</v>
      </c>
      <c r="I29" s="27">
        <f t="shared" si="4"/>
        <v>27560</v>
      </c>
      <c r="J29" s="27">
        <f t="shared" si="4"/>
        <v>18659</v>
      </c>
      <c r="K29" s="27">
        <f t="shared" si="4"/>
        <v>21861</v>
      </c>
      <c r="L29" s="27">
        <f t="shared" si="4"/>
        <v>15512</v>
      </c>
      <c r="M29" s="27">
        <f t="shared" si="4"/>
        <v>64113</v>
      </c>
      <c r="N29" s="27">
        <f t="shared" si="4"/>
        <v>27898</v>
      </c>
      <c r="O29" s="27">
        <f>SUM(O30:O33)</f>
        <v>30866</v>
      </c>
      <c r="P29" s="27">
        <f>SUM(P30:P33)</f>
        <v>24013.850000000002</v>
      </c>
      <c r="Q29" s="25">
        <v>38140.697700000004</v>
      </c>
    </row>
    <row r="30" spans="1:17" s="20" customFormat="1" ht="11.25" customHeight="1" x14ac:dyDescent="0.2">
      <c r="A30" s="38"/>
      <c r="B30" s="39"/>
      <c r="C30" s="41" t="s">
        <v>56</v>
      </c>
      <c r="D30" s="36">
        <f>27811668/1000</f>
        <v>27811.668000000001</v>
      </c>
      <c r="E30" s="36">
        <f>25004548/1000</f>
        <v>25004.547999999999</v>
      </c>
      <c r="F30" s="36">
        <f>26721097/1000</f>
        <v>26721.097000000002</v>
      </c>
      <c r="G30" s="36">
        <f>30830566/1000</f>
        <v>30830.565999999999</v>
      </c>
      <c r="H30" s="36">
        <f>17866751/1000</f>
        <v>17866.751</v>
      </c>
      <c r="I30" s="36">
        <v>23230</v>
      </c>
      <c r="J30" s="36">
        <v>17156</v>
      </c>
      <c r="K30" s="36">
        <v>19237</v>
      </c>
      <c r="L30" s="36">
        <v>11855</v>
      </c>
      <c r="M30" s="36">
        <v>62012</v>
      </c>
      <c r="N30" s="36">
        <v>25057</v>
      </c>
      <c r="O30" s="36">
        <v>22185</v>
      </c>
      <c r="P30" s="36">
        <v>12662.438</v>
      </c>
      <c r="Q30" s="37">
        <v>29242.697949999998</v>
      </c>
    </row>
    <row r="31" spans="1:17" s="20" customFormat="1" ht="11.25" customHeight="1" x14ac:dyDescent="0.2">
      <c r="A31" s="38"/>
      <c r="B31" s="39"/>
      <c r="C31" s="35" t="s">
        <v>23</v>
      </c>
      <c r="D31" s="36">
        <f>286834/1000</f>
        <v>286.834</v>
      </c>
      <c r="E31" s="36">
        <f>0/1000</f>
        <v>0</v>
      </c>
      <c r="F31" s="36">
        <f>50000/1000</f>
        <v>50</v>
      </c>
      <c r="G31" s="36">
        <f>0/1000</f>
        <v>0</v>
      </c>
      <c r="H31" s="36">
        <f>50500/1000</f>
        <v>50.5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7">
        <v>0</v>
      </c>
    </row>
    <row r="32" spans="1:17" s="20" customFormat="1" ht="11.25" customHeight="1" x14ac:dyDescent="0.2">
      <c r="A32" s="38"/>
      <c r="B32" s="39"/>
      <c r="C32" s="35" t="s">
        <v>24</v>
      </c>
      <c r="D32" s="36">
        <f>3862175/1000</f>
        <v>3862.1750000000002</v>
      </c>
      <c r="E32" s="36">
        <f>4228376/1000</f>
        <v>4228.3760000000002</v>
      </c>
      <c r="F32" s="36">
        <f>2417689/1000</f>
        <v>2417.6889999999999</v>
      </c>
      <c r="G32" s="36">
        <f>4324299/1000</f>
        <v>4324.299</v>
      </c>
      <c r="H32" s="36">
        <f>2878485/1000</f>
        <v>2878.4850000000001</v>
      </c>
      <c r="I32" s="36">
        <v>4314</v>
      </c>
      <c r="J32" s="36">
        <v>1503</v>
      </c>
      <c r="K32" s="36">
        <v>2624</v>
      </c>
      <c r="L32" s="36">
        <v>3657</v>
      </c>
      <c r="M32" s="36">
        <v>2101</v>
      </c>
      <c r="N32" s="36">
        <v>2841</v>
      </c>
      <c r="O32" s="36">
        <v>3824</v>
      </c>
      <c r="P32" s="36">
        <v>4362.317</v>
      </c>
      <c r="Q32" s="37">
        <v>4035.9747499999999</v>
      </c>
    </row>
    <row r="33" spans="1:17" s="20" customFormat="1" ht="11.25" customHeight="1" x14ac:dyDescent="0.2">
      <c r="A33" s="42"/>
      <c r="B33" s="43"/>
      <c r="C33" s="41" t="s">
        <v>25</v>
      </c>
      <c r="D33" s="36">
        <f>0/1000</f>
        <v>0</v>
      </c>
      <c r="E33" s="36">
        <f>384000/1000</f>
        <v>384</v>
      </c>
      <c r="F33" s="36">
        <f>348150/1000</f>
        <v>348.15</v>
      </c>
      <c r="G33" s="36">
        <f>469994/1000</f>
        <v>469.99400000000003</v>
      </c>
      <c r="H33" s="36">
        <f>65410/1000</f>
        <v>65.41</v>
      </c>
      <c r="I33" s="36">
        <v>16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4857</v>
      </c>
      <c r="P33" s="36">
        <v>6989.0950000000003</v>
      </c>
      <c r="Q33" s="37">
        <v>4862.0249999999996</v>
      </c>
    </row>
    <row r="34" spans="1:17" s="4" customFormat="1" ht="11.25" customHeight="1" x14ac:dyDescent="0.2">
      <c r="A34" s="79" t="s">
        <v>26</v>
      </c>
      <c r="B34" s="79"/>
      <c r="C34" s="79"/>
      <c r="D34" s="27">
        <f>SUM(D35+D40+D46+D49+D52+D57+D59)</f>
        <v>382747.92700000003</v>
      </c>
      <c r="E34" s="27">
        <f>SUM(E35+E40+E46+E49+E52+E57)</f>
        <v>225079.42699999997</v>
      </c>
      <c r="F34" s="27">
        <f>SUM(F35+F40+F46+F49+F52+F57)</f>
        <v>230650.98100000003</v>
      </c>
      <c r="G34" s="27">
        <f>SUM(G35+G40+G46+G49+G52+G57)</f>
        <v>190906.43799999999</v>
      </c>
      <c r="H34" s="27">
        <f>SUM(H35+H40+H46+H49+H52+H57)</f>
        <v>164946.00899999999</v>
      </c>
      <c r="I34" s="27">
        <v>150055</v>
      </c>
      <c r="J34" s="27">
        <f t="shared" ref="J34:O34" si="5">J35+J40+J46+J49+J52+J57</f>
        <v>153627</v>
      </c>
      <c r="K34" s="27">
        <f t="shared" si="5"/>
        <v>141451</v>
      </c>
      <c r="L34" s="27">
        <f t="shared" si="5"/>
        <v>137814</v>
      </c>
      <c r="M34" s="27">
        <f t="shared" si="5"/>
        <v>154047</v>
      </c>
      <c r="N34" s="27">
        <f t="shared" si="5"/>
        <v>109012</v>
      </c>
      <c r="O34" s="27">
        <f t="shared" si="5"/>
        <v>114878</v>
      </c>
      <c r="P34" s="27">
        <f>P35+P40+P46+P49+P52+P57</f>
        <v>99635.09</v>
      </c>
      <c r="Q34" s="25">
        <v>96642.386960000003</v>
      </c>
    </row>
    <row r="35" spans="1:17" s="4" customFormat="1" ht="11.25" customHeight="1" x14ac:dyDescent="0.2">
      <c r="A35" s="26"/>
      <c r="B35" s="80" t="s">
        <v>27</v>
      </c>
      <c r="C35" s="80"/>
      <c r="D35" s="27">
        <f>SUM(D36:D38)</f>
        <v>913.73699999999997</v>
      </c>
      <c r="E35" s="27">
        <f>SUM(E36:E38)</f>
        <v>827.40099999999995</v>
      </c>
      <c r="F35" s="27">
        <f>SUM(F36:F38)</f>
        <v>918.18200000000002</v>
      </c>
      <c r="G35" s="27">
        <f>SUM(G36:G38)</f>
        <v>605.02800000000002</v>
      </c>
      <c r="H35" s="27">
        <f>SUM(H36:H38)</f>
        <v>2610.442</v>
      </c>
      <c r="I35" s="27">
        <f t="shared" ref="I35:N35" si="6">SUM(I36:I39)</f>
        <v>1434</v>
      </c>
      <c r="J35" s="27">
        <f t="shared" si="6"/>
        <v>1757</v>
      </c>
      <c r="K35" s="27">
        <f t="shared" si="6"/>
        <v>1456</v>
      </c>
      <c r="L35" s="27">
        <f t="shared" si="6"/>
        <v>4653</v>
      </c>
      <c r="M35" s="27">
        <f t="shared" si="6"/>
        <v>558</v>
      </c>
      <c r="N35" s="27">
        <f t="shared" si="6"/>
        <v>891</v>
      </c>
      <c r="O35" s="27">
        <f>SUM(O36:O39)</f>
        <v>2882</v>
      </c>
      <c r="P35" s="27">
        <f>SUM(P36:P39)</f>
        <v>65.212999999999994</v>
      </c>
      <c r="Q35" s="25">
        <v>1672.3914499999998</v>
      </c>
    </row>
    <row r="36" spans="1:17" s="8" customFormat="1" ht="11.25" customHeight="1" x14ac:dyDescent="0.2">
      <c r="A36" s="28"/>
      <c r="B36" s="28"/>
      <c r="C36" s="32" t="s">
        <v>28</v>
      </c>
      <c r="D36" s="30">
        <f>884737/1000</f>
        <v>884.73699999999997</v>
      </c>
      <c r="E36" s="30">
        <f>827401/1000</f>
        <v>827.40099999999995</v>
      </c>
      <c r="F36" s="30">
        <f>918182/1000</f>
        <v>918.18200000000002</v>
      </c>
      <c r="G36" s="30">
        <f>605028/1000</f>
        <v>605.02800000000002</v>
      </c>
      <c r="H36" s="30">
        <f>2610442/1000</f>
        <v>2610.442</v>
      </c>
      <c r="I36" s="30">
        <v>1144</v>
      </c>
      <c r="J36" s="30">
        <v>1460</v>
      </c>
      <c r="K36" s="30">
        <v>1456</v>
      </c>
      <c r="L36" s="30">
        <v>4653</v>
      </c>
      <c r="M36" s="30">
        <v>558</v>
      </c>
      <c r="N36" s="30">
        <v>891</v>
      </c>
      <c r="O36" s="30">
        <v>2882</v>
      </c>
      <c r="P36" s="30">
        <v>65.212999999999994</v>
      </c>
      <c r="Q36" s="31">
        <v>1672.3914499999998</v>
      </c>
    </row>
    <row r="37" spans="1:17" s="8" customFormat="1" ht="11.25" customHeight="1" x14ac:dyDescent="0.2">
      <c r="A37" s="28"/>
      <c r="B37" s="28"/>
      <c r="C37" s="29" t="s">
        <v>29</v>
      </c>
      <c r="D37" s="30">
        <f>0/1000</f>
        <v>0</v>
      </c>
      <c r="E37" s="30">
        <f>0/1000</f>
        <v>0</v>
      </c>
      <c r="F37" s="30">
        <f>0/1000</f>
        <v>0</v>
      </c>
      <c r="G37" s="30">
        <f>0/1000</f>
        <v>0</v>
      </c>
      <c r="H37" s="30">
        <v>0</v>
      </c>
      <c r="I37" s="30">
        <v>0</v>
      </c>
      <c r="J37" s="30">
        <v>297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</row>
    <row r="38" spans="1:17" s="20" customFormat="1" ht="11.25" customHeight="1" x14ac:dyDescent="0.2">
      <c r="A38" s="38"/>
      <c r="B38" s="38"/>
      <c r="C38" s="35" t="s">
        <v>30</v>
      </c>
      <c r="D38" s="36">
        <f>29000/1000</f>
        <v>29</v>
      </c>
      <c r="E38" s="36">
        <v>0</v>
      </c>
      <c r="F38" s="36">
        <f>0/1000</f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7">
        <v>0</v>
      </c>
    </row>
    <row r="39" spans="1:17" s="20" customFormat="1" ht="11.25" customHeight="1" x14ac:dyDescent="0.2">
      <c r="A39" s="38"/>
      <c r="B39" s="44"/>
      <c r="C39" s="35" t="s">
        <v>31</v>
      </c>
      <c r="D39" s="36" t="s">
        <v>32</v>
      </c>
      <c r="E39" s="36" t="s">
        <v>32</v>
      </c>
      <c r="F39" s="36" t="s">
        <v>32</v>
      </c>
      <c r="G39" s="36" t="s">
        <v>32</v>
      </c>
      <c r="H39" s="36" t="s">
        <v>32</v>
      </c>
      <c r="I39" s="36">
        <v>290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7">
        <v>0</v>
      </c>
    </row>
    <row r="40" spans="1:17" s="4" customFormat="1" ht="11.25" customHeight="1" x14ac:dyDescent="0.2">
      <c r="A40" s="26"/>
      <c r="B40" s="80" t="s">
        <v>33</v>
      </c>
      <c r="C40" s="80"/>
      <c r="D40" s="27">
        <f>SUM(D41:D45)</f>
        <v>48932.255000000005</v>
      </c>
      <c r="E40" s="27">
        <f>SUM(E41:E45)</f>
        <v>79154.867999999988</v>
      </c>
      <c r="F40" s="27">
        <f>SUM(F41:F45)</f>
        <v>64159.055</v>
      </c>
      <c r="G40" s="27">
        <f>SUM(G42:G45)</f>
        <v>9217.0020000000004</v>
      </c>
      <c r="H40" s="27">
        <f t="shared" ref="H40:N40" si="7">SUM(H41:H45)</f>
        <v>8683.0509999999995</v>
      </c>
      <c r="I40" s="27">
        <f t="shared" si="7"/>
        <v>10570</v>
      </c>
      <c r="J40" s="27">
        <f t="shared" si="7"/>
        <v>9014</v>
      </c>
      <c r="K40" s="27">
        <f t="shared" si="7"/>
        <v>15553</v>
      </c>
      <c r="L40" s="27">
        <f t="shared" si="7"/>
        <v>11000</v>
      </c>
      <c r="M40" s="27">
        <f t="shared" si="7"/>
        <v>10857</v>
      </c>
      <c r="N40" s="27">
        <f t="shared" si="7"/>
        <v>10986</v>
      </c>
      <c r="O40" s="27">
        <f>SUM(O41:O45)</f>
        <v>14076</v>
      </c>
      <c r="P40" s="27">
        <f>SUM(P41:P45)</f>
        <v>11764.237999999998</v>
      </c>
      <c r="Q40" s="25">
        <v>13782.0101</v>
      </c>
    </row>
    <row r="41" spans="1:17" s="20" customFormat="1" ht="11.25" customHeight="1" x14ac:dyDescent="0.2">
      <c r="A41" s="38"/>
      <c r="B41" s="45"/>
      <c r="C41" s="41" t="s">
        <v>34</v>
      </c>
      <c r="D41" s="36">
        <f>41291000/1000</f>
        <v>41291</v>
      </c>
      <c r="E41" s="36">
        <f>70243700/1000</f>
        <v>70243.7</v>
      </c>
      <c r="F41" s="36">
        <f>53155800/1000</f>
        <v>53155.8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7">
        <v>0</v>
      </c>
    </row>
    <row r="42" spans="1:17" s="20" customFormat="1" ht="11.25" customHeight="1" x14ac:dyDescent="0.2">
      <c r="A42" s="38"/>
      <c r="B42" s="38"/>
      <c r="C42" s="35" t="s">
        <v>35</v>
      </c>
      <c r="D42" s="36">
        <f>3095067/1000</f>
        <v>3095.067</v>
      </c>
      <c r="E42" s="36">
        <f>3696045/1000</f>
        <v>3696.0450000000001</v>
      </c>
      <c r="F42" s="36">
        <f>5879455/1000</f>
        <v>5879.4549999999999</v>
      </c>
      <c r="G42" s="36">
        <f>4870545/1000</f>
        <v>4870.5450000000001</v>
      </c>
      <c r="H42" s="36">
        <f>4475250/1000</f>
        <v>4475.25</v>
      </c>
      <c r="I42" s="36">
        <v>4875</v>
      </c>
      <c r="J42" s="36">
        <v>4248</v>
      </c>
      <c r="K42" s="36">
        <v>8686</v>
      </c>
      <c r="L42" s="36">
        <v>5442</v>
      </c>
      <c r="M42" s="36">
        <v>5554</v>
      </c>
      <c r="N42" s="36">
        <v>5297</v>
      </c>
      <c r="O42" s="36">
        <v>5701</v>
      </c>
      <c r="P42" s="36">
        <v>5410.7569999999996</v>
      </c>
      <c r="Q42" s="37">
        <v>7558.6491999999998</v>
      </c>
    </row>
    <row r="43" spans="1:17" s="20" customFormat="1" ht="11.25" customHeight="1" x14ac:dyDescent="0.2">
      <c r="A43" s="38"/>
      <c r="B43" s="39"/>
      <c r="C43" s="46" t="s">
        <v>36</v>
      </c>
      <c r="D43" s="36">
        <f>25516/1000</f>
        <v>25.515999999999998</v>
      </c>
      <c r="E43" s="36">
        <f>0/1000</f>
        <v>0</v>
      </c>
      <c r="F43" s="36">
        <f>0/1000</f>
        <v>0</v>
      </c>
      <c r="G43" s="36">
        <v>0</v>
      </c>
      <c r="H43" s="36">
        <f>37275/1000</f>
        <v>37.274999999999999</v>
      </c>
      <c r="I43" s="36">
        <v>112</v>
      </c>
      <c r="J43" s="36">
        <v>75</v>
      </c>
      <c r="K43" s="36">
        <v>75</v>
      </c>
      <c r="L43" s="36">
        <v>75</v>
      </c>
      <c r="M43" s="36">
        <v>74</v>
      </c>
      <c r="N43" s="36">
        <v>75</v>
      </c>
      <c r="O43" s="36">
        <v>75</v>
      </c>
      <c r="P43" s="36">
        <v>108.27500000000001</v>
      </c>
      <c r="Q43" s="37">
        <v>108.27500000000001</v>
      </c>
    </row>
    <row r="44" spans="1:17" s="21" customFormat="1" ht="11.25" customHeight="1" x14ac:dyDescent="0.2">
      <c r="A44" s="45"/>
      <c r="B44" s="45"/>
      <c r="C44" s="46" t="s">
        <v>37</v>
      </c>
      <c r="D44" s="36">
        <f>260521/1000</f>
        <v>260.52100000000002</v>
      </c>
      <c r="E44" s="36">
        <f>348374/1000</f>
        <v>348.37400000000002</v>
      </c>
      <c r="F44" s="36">
        <f>56990/1000</f>
        <v>56.99</v>
      </c>
      <c r="G44" s="36">
        <f>11025/1000</f>
        <v>11.025</v>
      </c>
      <c r="H44" s="36">
        <f>166500/1000</f>
        <v>166.5</v>
      </c>
      <c r="I44" s="36">
        <v>772</v>
      </c>
      <c r="J44" s="36">
        <v>645</v>
      </c>
      <c r="K44" s="36">
        <v>717</v>
      </c>
      <c r="L44" s="36">
        <v>548</v>
      </c>
      <c r="M44" s="36">
        <v>788</v>
      </c>
      <c r="N44" s="36">
        <v>413</v>
      </c>
      <c r="O44" s="36">
        <v>3635</v>
      </c>
      <c r="P44" s="36">
        <v>2499.5949999999998</v>
      </c>
      <c r="Q44" s="37">
        <v>1977.9349999999999</v>
      </c>
    </row>
    <row r="45" spans="1:17" s="21" customFormat="1" ht="11.25" customHeight="1" x14ac:dyDescent="0.2">
      <c r="A45" s="38"/>
      <c r="B45" s="43"/>
      <c r="C45" s="46" t="s">
        <v>38</v>
      </c>
      <c r="D45" s="36">
        <f>4260151/1000</f>
        <v>4260.1509999999998</v>
      </c>
      <c r="E45" s="36">
        <f>4866749/1000</f>
        <v>4866.7489999999998</v>
      </c>
      <c r="F45" s="36">
        <f>5066810/1000</f>
        <v>5066.8100000000004</v>
      </c>
      <c r="G45" s="36">
        <f>4335432/1000</f>
        <v>4335.4319999999998</v>
      </c>
      <c r="H45" s="36">
        <f>4004026/1000</f>
        <v>4004.0259999999998</v>
      </c>
      <c r="I45" s="36">
        <v>4811</v>
      </c>
      <c r="J45" s="36">
        <v>4046</v>
      </c>
      <c r="K45" s="36">
        <v>6075</v>
      </c>
      <c r="L45" s="36">
        <v>4935</v>
      </c>
      <c r="M45" s="36">
        <v>4441</v>
      </c>
      <c r="N45" s="36">
        <v>5201</v>
      </c>
      <c r="O45" s="36">
        <v>4665</v>
      </c>
      <c r="P45" s="36">
        <v>3745.6109999999999</v>
      </c>
      <c r="Q45" s="37">
        <v>4137.1508999999996</v>
      </c>
    </row>
    <row r="46" spans="1:17" s="16" customFormat="1" ht="11.25" customHeight="1" x14ac:dyDescent="0.2">
      <c r="A46" s="26"/>
      <c r="B46" s="80" t="s">
        <v>39</v>
      </c>
      <c r="C46" s="80"/>
      <c r="D46" s="27">
        <f>SUM(D47:D48)</f>
        <v>6526.1379999999999</v>
      </c>
      <c r="E46" s="27">
        <f>SUM(E47)</f>
        <v>3901.9569999999999</v>
      </c>
      <c r="F46" s="27">
        <f>SUM(F47)</f>
        <v>3527.462</v>
      </c>
      <c r="G46" s="27">
        <f>SUM(G47)</f>
        <v>2203.0549999999998</v>
      </c>
      <c r="H46" s="27">
        <f>SUM(H47)</f>
        <v>1580.0350000000001</v>
      </c>
      <c r="I46" s="27">
        <f>SUM(I47:I48)</f>
        <v>2157</v>
      </c>
      <c r="J46" s="27">
        <v>4082</v>
      </c>
      <c r="K46" s="27">
        <v>3304</v>
      </c>
      <c r="L46" s="27">
        <v>3295</v>
      </c>
      <c r="M46" s="27">
        <v>1114</v>
      </c>
      <c r="N46" s="27">
        <f>SUM(N47:N48)</f>
        <v>745</v>
      </c>
      <c r="O46" s="27">
        <f>SUM(O47:O48)</f>
        <v>1079</v>
      </c>
      <c r="P46" s="27">
        <f>SUM(P47:P48)</f>
        <v>1145.76</v>
      </c>
      <c r="Q46" s="25">
        <v>1739.3140900000001</v>
      </c>
    </row>
    <row r="47" spans="1:17" s="17" customFormat="1" ht="11.25" customHeight="1" x14ac:dyDescent="0.2">
      <c r="A47" s="28"/>
      <c r="B47" s="47"/>
      <c r="C47" s="48" t="s">
        <v>40</v>
      </c>
      <c r="D47" s="30">
        <f>6525117/1000</f>
        <v>6525.1170000000002</v>
      </c>
      <c r="E47" s="30">
        <f>3901957/1000</f>
        <v>3901.9569999999999</v>
      </c>
      <c r="F47" s="30">
        <f>3527462/1000</f>
        <v>3527.462</v>
      </c>
      <c r="G47" s="30">
        <f>2203055/1000</f>
        <v>2203.0549999999998</v>
      </c>
      <c r="H47" s="30">
        <f>1580035/1000</f>
        <v>1580.0350000000001</v>
      </c>
      <c r="I47" s="30">
        <v>2157</v>
      </c>
      <c r="J47" s="30">
        <v>4082</v>
      </c>
      <c r="K47" s="30">
        <v>3304</v>
      </c>
      <c r="L47" s="30">
        <v>3295</v>
      </c>
      <c r="M47" s="30">
        <v>1114</v>
      </c>
      <c r="N47" s="30">
        <v>745</v>
      </c>
      <c r="O47" s="30">
        <v>879</v>
      </c>
      <c r="P47" s="30">
        <v>1037.26</v>
      </c>
      <c r="Q47" s="31">
        <v>1739.3140900000001</v>
      </c>
    </row>
    <row r="48" spans="1:17" s="17" customFormat="1" ht="11.25" customHeight="1" x14ac:dyDescent="0.2">
      <c r="A48" s="28"/>
      <c r="B48" s="40"/>
      <c r="C48" s="49" t="s">
        <v>41</v>
      </c>
      <c r="D48" s="50">
        <f>1021/1000</f>
        <v>1.0209999999999999</v>
      </c>
      <c r="E48" s="50">
        <f>0/1000</f>
        <v>0</v>
      </c>
      <c r="F48" s="50">
        <f>0/1000</f>
        <v>0</v>
      </c>
      <c r="G48" s="50">
        <f>0/1000</f>
        <v>0</v>
      </c>
      <c r="H48" s="50">
        <v>0</v>
      </c>
      <c r="I48" s="50">
        <v>0</v>
      </c>
      <c r="J48" s="5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200</v>
      </c>
      <c r="P48" s="30">
        <v>108.5</v>
      </c>
      <c r="Q48" s="31">
        <v>0</v>
      </c>
    </row>
    <row r="49" spans="1:19" s="16" customFormat="1" ht="11.25" customHeight="1" x14ac:dyDescent="0.2">
      <c r="A49" s="26"/>
      <c r="B49" s="80" t="s">
        <v>42</v>
      </c>
      <c r="C49" s="80"/>
      <c r="D49" s="27">
        <f t="shared" ref="D49:I49" si="8">SUM(D50:D51)</f>
        <v>346.51900000000001</v>
      </c>
      <c r="E49" s="27">
        <f t="shared" si="8"/>
        <v>91.367999999999995</v>
      </c>
      <c r="F49" s="27">
        <f t="shared" si="8"/>
        <v>55.71</v>
      </c>
      <c r="G49" s="27">
        <f t="shared" si="8"/>
        <v>259.80200000000002</v>
      </c>
      <c r="H49" s="27">
        <f t="shared" si="8"/>
        <v>157.398</v>
      </c>
      <c r="I49" s="27">
        <f t="shared" si="8"/>
        <v>220</v>
      </c>
      <c r="J49" s="27">
        <v>288</v>
      </c>
      <c r="K49" s="27">
        <f t="shared" ref="K49:P49" si="9">SUM(K50:K51)</f>
        <v>115</v>
      </c>
      <c r="L49" s="27">
        <f t="shared" si="9"/>
        <v>379</v>
      </c>
      <c r="M49" s="27">
        <f t="shared" si="9"/>
        <v>374</v>
      </c>
      <c r="N49" s="27">
        <f t="shared" si="9"/>
        <v>448</v>
      </c>
      <c r="O49" s="27">
        <f t="shared" si="9"/>
        <v>350</v>
      </c>
      <c r="P49" s="27">
        <f t="shared" si="9"/>
        <v>579.74099999999999</v>
      </c>
      <c r="Q49" s="25">
        <v>406.02384999999998</v>
      </c>
    </row>
    <row r="50" spans="1:19" s="21" customFormat="1" ht="11.25" customHeight="1" x14ac:dyDescent="0.2">
      <c r="A50" s="38"/>
      <c r="B50" s="45"/>
      <c r="C50" s="51" t="s">
        <v>43</v>
      </c>
      <c r="D50" s="36">
        <f>219239/1000</f>
        <v>219.239</v>
      </c>
      <c r="E50" s="36">
        <f>0/1000</f>
        <v>0</v>
      </c>
      <c r="F50" s="36">
        <f>0/1000</f>
        <v>0</v>
      </c>
      <c r="G50" s="36">
        <f>113768/1000</f>
        <v>113.768</v>
      </c>
      <c r="H50" s="36">
        <f>0/1000</f>
        <v>0</v>
      </c>
      <c r="I50" s="36">
        <v>147</v>
      </c>
      <c r="J50" s="36">
        <v>0</v>
      </c>
      <c r="K50" s="36">
        <v>0</v>
      </c>
      <c r="L50" s="36">
        <v>109</v>
      </c>
      <c r="M50" s="36">
        <v>27</v>
      </c>
      <c r="N50" s="36">
        <v>68</v>
      </c>
      <c r="O50" s="36">
        <v>82</v>
      </c>
      <c r="P50" s="36">
        <v>258.93099999999998</v>
      </c>
      <c r="Q50" s="37">
        <v>32.031999999999996</v>
      </c>
    </row>
    <row r="51" spans="1:19" s="21" customFormat="1" ht="11.25" customHeight="1" x14ac:dyDescent="0.2">
      <c r="A51" s="38"/>
      <c r="B51" s="43"/>
      <c r="C51" s="46" t="s">
        <v>44</v>
      </c>
      <c r="D51" s="36">
        <f>127280/1000</f>
        <v>127.28</v>
      </c>
      <c r="E51" s="36">
        <f>91368/1000</f>
        <v>91.367999999999995</v>
      </c>
      <c r="F51" s="36">
        <f>55710/1000</f>
        <v>55.71</v>
      </c>
      <c r="G51" s="36">
        <f>146034/1000</f>
        <v>146.03399999999999</v>
      </c>
      <c r="H51" s="36">
        <f>157398/1000</f>
        <v>157.398</v>
      </c>
      <c r="I51" s="36">
        <v>73</v>
      </c>
      <c r="J51" s="36">
        <v>288</v>
      </c>
      <c r="K51" s="36">
        <v>115</v>
      </c>
      <c r="L51" s="36">
        <v>270</v>
      </c>
      <c r="M51" s="36">
        <v>347</v>
      </c>
      <c r="N51" s="36">
        <v>380</v>
      </c>
      <c r="O51" s="36">
        <v>268</v>
      </c>
      <c r="P51" s="36">
        <v>320.81</v>
      </c>
      <c r="Q51" s="37">
        <v>373.99185</v>
      </c>
    </row>
    <row r="52" spans="1:19" s="23" customFormat="1" ht="11.25" customHeight="1" x14ac:dyDescent="0.2">
      <c r="A52" s="34"/>
      <c r="B52" s="90" t="s">
        <v>45</v>
      </c>
      <c r="C52" s="90"/>
      <c r="D52" s="52">
        <f t="shared" ref="D52:N52" si="10">SUM(D53:D56)</f>
        <v>95332.387999999992</v>
      </c>
      <c r="E52" s="52">
        <f t="shared" si="10"/>
        <v>111486.90899999999</v>
      </c>
      <c r="F52" s="52">
        <f t="shared" si="10"/>
        <v>132453.636</v>
      </c>
      <c r="G52" s="52">
        <f t="shared" si="10"/>
        <v>142996.69200000001</v>
      </c>
      <c r="H52" s="52">
        <f t="shared" si="10"/>
        <v>131053.936</v>
      </c>
      <c r="I52" s="52">
        <f t="shared" si="10"/>
        <v>108114</v>
      </c>
      <c r="J52" s="52">
        <f t="shared" si="10"/>
        <v>119827</v>
      </c>
      <c r="K52" s="52">
        <f t="shared" si="10"/>
        <v>99162</v>
      </c>
      <c r="L52" s="52">
        <f t="shared" si="10"/>
        <v>102976</v>
      </c>
      <c r="M52" s="52">
        <f t="shared" si="10"/>
        <v>77030</v>
      </c>
      <c r="N52" s="52">
        <f t="shared" si="10"/>
        <v>68044</v>
      </c>
      <c r="O52" s="52">
        <f>SUM(O53:O56)</f>
        <v>65625</v>
      </c>
      <c r="P52" s="52">
        <f>SUM(P53:P56)</f>
        <v>62066.288</v>
      </c>
      <c r="Q52" s="53">
        <v>40901.949769999999</v>
      </c>
    </row>
    <row r="53" spans="1:19" s="21" customFormat="1" ht="11.25" customHeight="1" x14ac:dyDescent="0.2">
      <c r="A53" s="38"/>
      <c r="B53" s="38"/>
      <c r="C53" s="41" t="s">
        <v>46</v>
      </c>
      <c r="D53" s="36">
        <f>80863336/1000</f>
        <v>80863.335999999996</v>
      </c>
      <c r="E53" s="36">
        <f>90040601/1000</f>
        <v>90040.600999999995</v>
      </c>
      <c r="F53" s="36">
        <f>110788084/1000</f>
        <v>110788.084</v>
      </c>
      <c r="G53" s="36">
        <f>126174857/1000</f>
        <v>126174.857</v>
      </c>
      <c r="H53" s="36">
        <f>116271514/1000</f>
        <v>116271.514</v>
      </c>
      <c r="I53" s="36">
        <v>91507</v>
      </c>
      <c r="J53" s="36">
        <v>98859</v>
      </c>
      <c r="K53" s="36">
        <v>80892</v>
      </c>
      <c r="L53" s="36">
        <v>81815</v>
      </c>
      <c r="M53" s="36">
        <v>54376</v>
      </c>
      <c r="N53" s="36">
        <v>44491</v>
      </c>
      <c r="O53" s="36">
        <v>36063</v>
      </c>
      <c r="P53" s="36">
        <v>37580.945</v>
      </c>
      <c r="Q53" s="37">
        <v>21860.211299999999</v>
      </c>
    </row>
    <row r="54" spans="1:19" s="21" customFormat="1" ht="11.25" customHeight="1" x14ac:dyDescent="0.2">
      <c r="A54" s="38"/>
      <c r="B54" s="38"/>
      <c r="C54" s="35" t="s">
        <v>47</v>
      </c>
      <c r="D54" s="36">
        <f>9292089/1000</f>
        <v>9292.0889999999999</v>
      </c>
      <c r="E54" s="36">
        <f>16175059/1000</f>
        <v>16175.058999999999</v>
      </c>
      <c r="F54" s="36">
        <f>12832136/1000</f>
        <v>12832.136</v>
      </c>
      <c r="G54" s="36">
        <f>10975321/1000</f>
        <v>10975.321</v>
      </c>
      <c r="H54" s="36">
        <f>10226671/1000</f>
        <v>10226.671</v>
      </c>
      <c r="I54" s="36">
        <v>9202</v>
      </c>
      <c r="J54" s="36">
        <v>11655</v>
      </c>
      <c r="K54" s="36">
        <v>10657</v>
      </c>
      <c r="L54" s="36">
        <v>9804</v>
      </c>
      <c r="M54" s="36">
        <v>13428</v>
      </c>
      <c r="N54" s="36">
        <v>13753</v>
      </c>
      <c r="O54" s="36">
        <v>13486</v>
      </c>
      <c r="P54" s="36">
        <v>14409.321</v>
      </c>
      <c r="Q54" s="37">
        <v>8441.3806000000004</v>
      </c>
    </row>
    <row r="55" spans="1:19" s="17" customFormat="1" ht="11.25" customHeight="1" x14ac:dyDescent="0.2">
      <c r="A55" s="28"/>
      <c r="B55" s="28"/>
      <c r="C55" s="35" t="s">
        <v>48</v>
      </c>
      <c r="D55" s="36">
        <f>4795963/1000</f>
        <v>4795.9629999999997</v>
      </c>
      <c r="E55" s="36">
        <f>5271249/1000</f>
        <v>5271.2489999999998</v>
      </c>
      <c r="F55" s="36">
        <f>8833416/1000</f>
        <v>8833.4159999999993</v>
      </c>
      <c r="G55" s="36">
        <f>5316514/1000</f>
        <v>5316.5140000000001</v>
      </c>
      <c r="H55" s="36">
        <f>4555751/1000</f>
        <v>4555.7510000000002</v>
      </c>
      <c r="I55" s="36">
        <v>7265</v>
      </c>
      <c r="J55" s="36">
        <v>9255</v>
      </c>
      <c r="K55" s="30">
        <v>7613</v>
      </c>
      <c r="L55" s="30">
        <v>11357</v>
      </c>
      <c r="M55" s="30">
        <v>9115</v>
      </c>
      <c r="N55" s="30">
        <v>9770</v>
      </c>
      <c r="O55" s="36">
        <v>15405</v>
      </c>
      <c r="P55" s="36">
        <v>10007.74</v>
      </c>
      <c r="Q55" s="31">
        <v>10600.35787</v>
      </c>
    </row>
    <row r="56" spans="1:19" s="17" customFormat="1" ht="11.25" customHeight="1" x14ac:dyDescent="0.2">
      <c r="A56" s="28"/>
      <c r="B56" s="32"/>
      <c r="C56" s="29" t="s">
        <v>49</v>
      </c>
      <c r="D56" s="30">
        <f>381000/1000</f>
        <v>381</v>
      </c>
      <c r="E56" s="30">
        <f>0/1000</f>
        <v>0</v>
      </c>
      <c r="F56" s="30">
        <f>0/1000</f>
        <v>0</v>
      </c>
      <c r="G56" s="30">
        <f>530000/1000</f>
        <v>530</v>
      </c>
      <c r="H56" s="30">
        <f>0/1000</f>
        <v>0</v>
      </c>
      <c r="I56" s="30">
        <v>140</v>
      </c>
      <c r="J56" s="30">
        <v>58</v>
      </c>
      <c r="K56" s="30">
        <v>0</v>
      </c>
      <c r="L56" s="30">
        <v>0</v>
      </c>
      <c r="M56" s="30">
        <v>111</v>
      </c>
      <c r="N56" s="30">
        <v>30</v>
      </c>
      <c r="O56" s="36">
        <v>671</v>
      </c>
      <c r="P56" s="36">
        <v>68.281999999999996</v>
      </c>
      <c r="Q56" s="31">
        <v>0</v>
      </c>
    </row>
    <row r="57" spans="1:19" s="16" customFormat="1" ht="11.25" customHeight="1" x14ac:dyDescent="0.2">
      <c r="A57" s="26"/>
      <c r="B57" s="79" t="s">
        <v>50</v>
      </c>
      <c r="C57" s="79"/>
      <c r="D57" s="27">
        <f>SUM(D58)</f>
        <v>31960.677</v>
      </c>
      <c r="E57" s="27">
        <f>SUM(E58)</f>
        <v>29616.923999999999</v>
      </c>
      <c r="F57" s="27">
        <f>SUM(F58)</f>
        <v>29536.936000000002</v>
      </c>
      <c r="G57" s="27">
        <f>SUM(G58)</f>
        <v>35624.858999999997</v>
      </c>
      <c r="H57" s="27">
        <f>SUM(H58)</f>
        <v>20861.147000000001</v>
      </c>
      <c r="I57" s="27">
        <v>27560</v>
      </c>
      <c r="J57" s="27">
        <v>18659</v>
      </c>
      <c r="K57" s="27">
        <v>21861</v>
      </c>
      <c r="L57" s="27">
        <v>15511</v>
      </c>
      <c r="M57" s="27">
        <v>64114</v>
      </c>
      <c r="N57" s="27">
        <v>27898</v>
      </c>
      <c r="O57" s="27">
        <v>30866</v>
      </c>
      <c r="P57" s="27">
        <f>SUM(P58)</f>
        <v>24013.85</v>
      </c>
      <c r="Q57" s="25">
        <v>38140.697700000004</v>
      </c>
      <c r="S57" s="22"/>
    </row>
    <row r="58" spans="1:19" s="21" customFormat="1" ht="11.25" customHeight="1" x14ac:dyDescent="0.2">
      <c r="A58" s="38"/>
      <c r="B58" s="54"/>
      <c r="C58" s="46" t="s">
        <v>51</v>
      </c>
      <c r="D58" s="36">
        <f>31960677/1000</f>
        <v>31960.677</v>
      </c>
      <c r="E58" s="36">
        <f>29616924/1000</f>
        <v>29616.923999999999</v>
      </c>
      <c r="F58" s="36">
        <f>29536936/1000</f>
        <v>29536.936000000002</v>
      </c>
      <c r="G58" s="36">
        <f>35624859/1000</f>
        <v>35624.858999999997</v>
      </c>
      <c r="H58" s="36">
        <f>20861147/1000</f>
        <v>20861.147000000001</v>
      </c>
      <c r="I58" s="36">
        <v>27560</v>
      </c>
      <c r="J58" s="36">
        <v>18659</v>
      </c>
      <c r="K58" s="36">
        <v>21861</v>
      </c>
      <c r="L58" s="36">
        <v>15511</v>
      </c>
      <c r="M58" s="36">
        <v>64114</v>
      </c>
      <c r="N58" s="36">
        <v>27898</v>
      </c>
      <c r="O58" s="36">
        <v>30866</v>
      </c>
      <c r="P58" s="36">
        <v>24013.85</v>
      </c>
      <c r="Q58" s="37">
        <v>38140.697700000004</v>
      </c>
    </row>
    <row r="59" spans="1:19" s="16" customFormat="1" ht="11.25" customHeight="1" x14ac:dyDescent="0.2">
      <c r="A59" s="26"/>
      <c r="B59" s="79" t="s">
        <v>52</v>
      </c>
      <c r="C59" s="79"/>
      <c r="D59" s="27">
        <f t="shared" ref="D59:I59" si="11">SUM(D60)</f>
        <v>198736.21299999999</v>
      </c>
      <c r="E59" s="27">
        <f t="shared" si="11"/>
        <v>0</v>
      </c>
      <c r="F59" s="27">
        <f t="shared" si="11"/>
        <v>0</v>
      </c>
      <c r="G59" s="27">
        <f t="shared" si="11"/>
        <v>0</v>
      </c>
      <c r="H59" s="27">
        <f t="shared" si="11"/>
        <v>0</v>
      </c>
      <c r="I59" s="27">
        <f t="shared" si="11"/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f>SUM(P60)</f>
        <v>0</v>
      </c>
      <c r="Q59" s="25">
        <v>0</v>
      </c>
    </row>
    <row r="60" spans="1:19" s="21" customFormat="1" ht="11.25" customHeight="1" x14ac:dyDescent="0.2">
      <c r="A60" s="38"/>
      <c r="B60" s="45"/>
      <c r="C60" s="55" t="s">
        <v>53</v>
      </c>
      <c r="D60" s="56">
        <f>198736213/1000</f>
        <v>198736.21299999999</v>
      </c>
      <c r="E60" s="56">
        <f>0/1000</f>
        <v>0</v>
      </c>
      <c r="F60" s="56">
        <f>0/1000</f>
        <v>0</v>
      </c>
      <c r="G60" s="56">
        <f>0/1000</f>
        <v>0</v>
      </c>
      <c r="H60" s="56">
        <v>0</v>
      </c>
      <c r="I60" s="56">
        <v>0</v>
      </c>
      <c r="J60" s="56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8">
        <v>0</v>
      </c>
    </row>
    <row r="61" spans="1:19" s="8" customFormat="1" ht="5.25" customHeight="1" x14ac:dyDescent="0.2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9" s="8" customFormat="1" ht="12" x14ac:dyDescent="0.2">
      <c r="A62" s="89" t="s">
        <v>111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1:19" s="8" customFormat="1" ht="6" customHeight="1" x14ac:dyDescent="0.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9" s="8" customFormat="1" ht="12" x14ac:dyDescent="0.2">
      <c r="A64" s="85" t="s">
        <v>54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s="14" customFormat="1" ht="5.25" customHeight="1" x14ac:dyDescent="0.2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s="13" customFormat="1" ht="11.25" x14ac:dyDescent="0.2">
      <c r="A66" s="85" t="s">
        <v>57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s="13" customFormat="1" ht="11.25" x14ac:dyDescent="0.2">
      <c r="A67" s="85" t="s">
        <v>55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</sheetData>
  <mergeCells count="27">
    <mergeCell ref="A1:Q1"/>
    <mergeCell ref="A2:Q2"/>
    <mergeCell ref="A34:C34"/>
    <mergeCell ref="B35:C35"/>
    <mergeCell ref="B40:C40"/>
    <mergeCell ref="B9:C9"/>
    <mergeCell ref="B15:C15"/>
    <mergeCell ref="B22:C22"/>
    <mergeCell ref="A3:Q3"/>
    <mergeCell ref="A4:Q4"/>
    <mergeCell ref="A7:Q7"/>
    <mergeCell ref="A5:C5"/>
    <mergeCell ref="A6:C6"/>
    <mergeCell ref="A8:C8"/>
    <mergeCell ref="B29:C29"/>
    <mergeCell ref="B49:C49"/>
    <mergeCell ref="B52:C52"/>
    <mergeCell ref="B57:C57"/>
    <mergeCell ref="B59:C59"/>
    <mergeCell ref="B46:C46"/>
    <mergeCell ref="A67:Q67"/>
    <mergeCell ref="A61:Q61"/>
    <mergeCell ref="A62:Q62"/>
    <mergeCell ref="A63:Q63"/>
    <mergeCell ref="A64:Q64"/>
    <mergeCell ref="A65:Q65"/>
    <mergeCell ref="A66:Q66"/>
  </mergeCells>
  <phoneticPr fontId="0" type="noConversion"/>
  <pageMargins left="0" right="0" top="0" bottom="0" header="0" footer="0"/>
  <pageSetup paperSize="9" scale="75" orientation="landscape" r:id="rId1"/>
  <headerFooter alignWithMargins="0"/>
  <ignoredErrors>
    <ignoredError sqref="D17:E17 H17 G19 F18 F31 G40 E49:F49 G50 D58:H58 G56" formula="1"/>
    <ignoredError sqref="J40:M40 I52:O52 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Serie, dal 2014</vt:lpstr>
      <vt:lpstr>Serie, 2000-2013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 degli investimenti del Cantone Ticino1 (in mille franchi), dal 2000</dc:title>
  <dc:creator>Nepomuceno Ralf</dc:creator>
  <cp:lastModifiedBy>Nepomuceno Ralf / t000534</cp:lastModifiedBy>
  <cp:lastPrinted>2018-04-13T12:33:03Z</cp:lastPrinted>
  <dcterms:created xsi:type="dcterms:W3CDTF">2003-12-31T06:21:55Z</dcterms:created>
  <dcterms:modified xsi:type="dcterms:W3CDTF">2023-07-04T06:47:14Z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-347298346</vt:i4>
  </property>
  <property fmtid="{D5CDD505-2E9C-101B-9397-08002B2CF9AE}" pid="3" name="_EmailSubject">
    <vt:lpwstr/>
  </property>
  <property fmtid="{D5CDD505-2E9C-101B-9397-08002B2CF9AE}" pid="4" name="_AuthorEmail">
    <vt:lpwstr>lorella.pioppi@ti.ch</vt:lpwstr>
  </property>
  <property fmtid="{D5CDD505-2E9C-101B-9397-08002B2CF9AE}" pid="5" name="_AuthorEmailDisplayName">
    <vt:lpwstr>Pioppi Lorella</vt:lpwstr>
  </property>
  <property fmtid="{D5CDD505-2E9C-101B-9397-08002B2CF9AE}" pid="6" name="_ReviewingToolsShownOnce">
    <vt:lpwstr/>
  </property>
</Properties>
</file>