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ust011\BD\BD_MELA\Salari\RSS\3 - Pubblicazioni\articolo 2022\2022_descrittivo\cubi da pubblicare\revisione_cubi\Cubi_completi_def_e_meta_da_pubblicare\"/>
    </mc:Choice>
  </mc:AlternateContent>
  <bookViews>
    <workbookView xWindow="0" yWindow="0" windowWidth="13125" windowHeight="6105"/>
  </bookViews>
  <sheets>
    <sheet name="Tabella" sheetId="1" r:id="rId1"/>
    <sheet name="Definizioni" sheetId="2" r:id="rId2"/>
    <sheet name="Informazioni" sheetId="3" r:id="rId3"/>
  </sheets>
  <calcPr calcId="162913"/>
</workbook>
</file>

<file path=xl/calcChain.xml><?xml version="1.0" encoding="utf-8"?>
<calcChain xmlns="http://schemas.openxmlformats.org/spreadsheetml/2006/main">
  <c r="A3" i="3" l="1"/>
  <c r="A32" i="2"/>
  <c r="A31" i="2"/>
  <c r="A30" i="2"/>
  <c r="A26" i="2"/>
  <c r="I109" i="1" l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6" i="1"/>
  <c r="H76" i="1"/>
  <c r="G76" i="1"/>
  <c r="F76" i="1"/>
  <c r="E76" i="1"/>
  <c r="D76" i="1"/>
  <c r="C76" i="1"/>
  <c r="I75" i="1"/>
  <c r="H75" i="1"/>
  <c r="G75" i="1"/>
  <c r="F75" i="1"/>
  <c r="E75" i="1"/>
  <c r="D75" i="1"/>
  <c r="C75" i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H3" i="1"/>
  <c r="G3" i="1"/>
  <c r="F3" i="1"/>
  <c r="E3" i="1"/>
  <c r="D3" i="1"/>
  <c r="C3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<sst xmlns="http://schemas.openxmlformats.org/spreadsheetml/2006/main" count="374" uniqueCount="65">
  <si>
    <t>anno</t>
  </si>
  <si>
    <t>sezione_noga2008</t>
  </si>
  <si>
    <t>AD_salariati</t>
  </si>
  <si>
    <t>ETP_salariati</t>
  </si>
  <si>
    <t>p10</t>
  </si>
  <si>
    <t>p25</t>
  </si>
  <si>
    <t>p50</t>
  </si>
  <si>
    <t>p75</t>
  </si>
  <si>
    <t>p90</t>
  </si>
  <si>
    <t>info</t>
  </si>
  <si>
    <t>2010</t>
  </si>
  <si>
    <t>Totale</t>
  </si>
  <si>
    <t>ok</t>
  </si>
  <si>
    <t>B Attività estrattive</t>
  </si>
  <si>
    <t>ok / ( )</t>
  </si>
  <si>
    <t>C Attività manifatturiere</t>
  </si>
  <si>
    <t>D Fornitura di energia elettrica</t>
  </si>
  <si>
    <t>E Fornitura di acqua; reti fognarie</t>
  </si>
  <si>
    <t>F Costruzioni</t>
  </si>
  <si>
    <t>G Commercio e ripar. di autov.</t>
  </si>
  <si>
    <t>H Trasporto e magazzinaggio</t>
  </si>
  <si>
    <t>I Serv. di alloggio e di ristorazione</t>
  </si>
  <si>
    <t>J Serv. di info. e comunicazione</t>
  </si>
  <si>
    <t>K Attività finanziarie e assicurative</t>
  </si>
  <si>
    <t>L Attività immobiliari</t>
  </si>
  <si>
    <t>M Att. prof., scientifiche e tecn.</t>
  </si>
  <si>
    <t>N Att. amm. e di serv. di supporto</t>
  </si>
  <si>
    <t>P Istruzione</t>
  </si>
  <si>
    <t>Q Sanità e assistenza sociale</t>
  </si>
  <si>
    <t>R Attività artistiche, di intratt.</t>
  </si>
  <si>
    <t>S Altre attività di servizi</t>
  </si>
  <si>
    <t>2012</t>
  </si>
  <si>
    <t>2014</t>
  </si>
  <si>
    <t>2016</t>
  </si>
  <si>
    <t>2018</t>
  </si>
  <si>
    <t>X</t>
  </si>
  <si>
    <t>2020</t>
  </si>
  <si>
    <t>variabili</t>
  </si>
  <si>
    <t>nome_variabile</t>
  </si>
  <si>
    <t>l'anno dell'inchiesta</t>
  </si>
  <si>
    <t>la sezione economica (NOGA 2008)</t>
  </si>
  <si>
    <t>Descrizione delle statistiche:</t>
  </si>
  <si>
    <t>statistica</t>
  </si>
  <si>
    <t>descrizione_statistica</t>
  </si>
  <si>
    <t>addetti ai sensi della RSS</t>
  </si>
  <si>
    <t>addetti ETP ai sensi della RSS</t>
  </si>
  <si>
    <t>decimo percentile del salario mensile lordo standardizzato (primo decile, in franchi)</t>
  </si>
  <si>
    <t>venticinquesimo percentile del salario mensile lordo standardizzato (primo quartile, in franchi)</t>
  </si>
  <si>
    <t>cinquantesimo percentile del salario mensile lordo standardizzato (mediana, in franchi)</t>
  </si>
  <si>
    <t>settantacinquesimo percentile del salario mensile lordo standardizzato (terzo quartile, in franchi)</t>
  </si>
  <si>
    <t>novantesimo percentile del salario mensile lordo standardizzato (nono decile, in franchi)</t>
  </si>
  <si>
    <t>La colonna "info" riporta una delle informazioni seguenti:</t>
  </si>
  <si>
    <t>segno</t>
  </si>
  <si>
    <t>descrizione_segno</t>
  </si>
  <si>
    <t>esistono delle stime con le caratteristiche descritte in quella riga</t>
  </si>
  <si>
    <t>…</t>
  </si>
  <si>
    <t>dato non disponibile</t>
  </si>
  <si>
    <t>dato non pubblicato per motivi legati alla protezione dei dati</t>
  </si>
  <si>
    <t>( )</t>
  </si>
  <si>
    <t>coefficiente di variazione superiore a 5% (valore incerto a livello statistico)</t>
  </si>
  <si>
    <t>alcune stime di quella riga sono pubblicabili senza restrizioni e altre tra parentesi</t>
  </si>
  <si>
    <t>Glossario:</t>
  </si>
  <si>
    <t>Salario mensile lordo standardizzato (in fr.) e altri indicatori nel settore privato, secondo la sezione economica (NOGA 2008), in Ticino, dal 2010 al 2020</t>
  </si>
  <si>
    <t>Elaborazione: Ufficio di statistica (Ustat), Giubiasco</t>
  </si>
  <si>
    <t>Ultima modifica: 13.06.2022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</si>
</sst>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,##0\)"/>
  </numFmts>
  <fonts count="3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J109" totalsRowShown="0">
  <autoFilter ref="A1:J109"/>
  <tableColumns count="10">
    <tableColumn id="1" name="anno"/>
    <tableColumn id="2" name="sezione_noga2008"/>
    <tableColumn id="3" name="AD_salariati"/>
    <tableColumn id="4" name="ETP_salariati"/>
    <tableColumn id="5" name="p10"/>
    <tableColumn id="6" name="p25"/>
    <tableColumn id="7" name="p50"/>
    <tableColumn id="8" name="p75"/>
    <tableColumn id="9" name="p90"/>
    <tableColumn id="10" name="inf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4" displayName="Table4" ref="A1:B3" totalsRowShown="0">
  <tableColumns count="2">
    <tableColumn id="1" name="variabili"/>
    <tableColumn id="2" name="nome_variabil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5" displayName="Table5" ref="A7:B14" totalsRowShown="0">
  <tableColumns count="2">
    <tableColumn id="1" name="statistica"/>
    <tableColumn id="2" name="descrizione_statistic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6" displayName="Table6" ref="A18:B23" totalsRowShown="0">
  <tableColumns count="2">
    <tableColumn id="1" name="segno"/>
    <tableColumn id="2" name="descrizione_seg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7.7109375" customWidth="1"/>
    <col min="2" max="2" width="40.7109375" customWidth="1"/>
    <col min="3" max="4" width="27.7109375" customWidth="1"/>
    <col min="5" max="7" width="15.7109375" customWidth="1"/>
    <col min="8" max="9" width="16.7109375" customWidth="1"/>
    <col min="10" max="10" width="11.71093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 s="1">
        <f>VALUE(113664.684351651)</f>
        <v>113664.684351651</v>
      </c>
      <c r="D2" s="1">
        <f>VALUE(102882.314250464)</f>
        <v>102882.314250464</v>
      </c>
      <c r="E2" s="1">
        <f>VALUE(3199)</f>
        <v>3199</v>
      </c>
      <c r="F2" s="1">
        <f>VALUE(3932)</f>
        <v>3932</v>
      </c>
      <c r="G2" s="1">
        <f>VALUE(5015)</f>
        <v>5015</v>
      </c>
      <c r="H2" s="1">
        <f>VALUE(6356)</f>
        <v>6356</v>
      </c>
      <c r="I2" s="1">
        <f>VALUE(8574)</f>
        <v>8574</v>
      </c>
      <c r="J2" t="s">
        <v>12</v>
      </c>
    </row>
    <row r="3" spans="1:10" x14ac:dyDescent="0.25">
      <c r="A3" t="s">
        <v>10</v>
      </c>
      <c r="B3" t="s">
        <v>13</v>
      </c>
      <c r="C3" s="1">
        <f>VALUE(429.0347511466)</f>
        <v>429.0347511466</v>
      </c>
      <c r="D3" s="1">
        <f>VALUE(429.4974694509)</f>
        <v>429.49746945089998</v>
      </c>
      <c r="E3" s="2">
        <f>VALUE(4858)</f>
        <v>4858</v>
      </c>
      <c r="F3" s="1">
        <f>VALUE(5432)</f>
        <v>5432</v>
      </c>
      <c r="G3" s="1">
        <f>VALUE(5904)</f>
        <v>5904</v>
      </c>
      <c r="H3" s="1">
        <f>VALUE(6469)</f>
        <v>6469</v>
      </c>
      <c r="I3" s="1">
        <f>VALUE(7248)</f>
        <v>7248</v>
      </c>
      <c r="J3" t="s">
        <v>14</v>
      </c>
    </row>
    <row r="4" spans="1:10" x14ac:dyDescent="0.25">
      <c r="A4" t="s">
        <v>10</v>
      </c>
      <c r="B4" t="s">
        <v>15</v>
      </c>
      <c r="C4" s="1">
        <f>VALUE(27036.3909220158)</f>
        <v>27036.390922015798</v>
      </c>
      <c r="D4" s="1">
        <f>VALUE(26511.764465386)</f>
        <v>26511.764465386001</v>
      </c>
      <c r="E4" s="1">
        <f>VALUE(2770)</f>
        <v>2770</v>
      </c>
      <c r="F4" s="1">
        <f>VALUE(3471)</f>
        <v>3471</v>
      </c>
      <c r="G4" s="1">
        <f>VALUE(4603)</f>
        <v>4603</v>
      </c>
      <c r="H4" s="1">
        <f>VALUE(5871)</f>
        <v>5871</v>
      </c>
      <c r="I4" s="1">
        <f>VALUE(7587)</f>
        <v>7587</v>
      </c>
      <c r="J4" t="s">
        <v>12</v>
      </c>
    </row>
    <row r="5" spans="1:10" x14ac:dyDescent="0.25">
      <c r="A5" t="s">
        <v>10</v>
      </c>
      <c r="B5" t="s">
        <v>16</v>
      </c>
      <c r="C5" s="1">
        <f>VALUE(756.0438353682)</f>
        <v>756.04383536820001</v>
      </c>
      <c r="D5" s="1">
        <f>VALUE(763.8992755389)</f>
        <v>763.89927553890004</v>
      </c>
      <c r="E5" s="1">
        <f>VALUE(4629)</f>
        <v>4629</v>
      </c>
      <c r="F5" s="1">
        <f>VALUE(5557)</f>
        <v>5557</v>
      </c>
      <c r="G5" s="1">
        <f>VALUE(6440)</f>
        <v>6440</v>
      </c>
      <c r="H5" s="1">
        <f>VALUE(7195)</f>
        <v>7195</v>
      </c>
      <c r="I5" s="1">
        <f>VALUE(8478)</f>
        <v>8478</v>
      </c>
      <c r="J5" t="s">
        <v>12</v>
      </c>
    </row>
    <row r="6" spans="1:10" x14ac:dyDescent="0.25">
      <c r="A6" t="s">
        <v>10</v>
      </c>
      <c r="B6" t="s">
        <v>17</v>
      </c>
      <c r="C6" s="1">
        <f>VALUE(350.3471436981)</f>
        <v>350.34714369810001</v>
      </c>
      <c r="D6" s="1">
        <f>VALUE(380.0731755253)</f>
        <v>380.07317552529997</v>
      </c>
      <c r="E6" s="1">
        <f>VALUE(3358)</f>
        <v>3358</v>
      </c>
      <c r="F6" s="1">
        <f>VALUE(3780)</f>
        <v>3780</v>
      </c>
      <c r="G6" s="1">
        <f>VALUE(4252)</f>
        <v>4252</v>
      </c>
      <c r="H6" s="1">
        <f>VALUE(4932)</f>
        <v>4932</v>
      </c>
      <c r="I6" s="2">
        <f>VALUE(6089)</f>
        <v>6089</v>
      </c>
      <c r="J6" t="s">
        <v>14</v>
      </c>
    </row>
    <row r="7" spans="1:10" x14ac:dyDescent="0.25">
      <c r="A7" t="s">
        <v>10</v>
      </c>
      <c r="B7" t="s">
        <v>18</v>
      </c>
      <c r="C7" s="1">
        <f>VALUE(12810.2349281964)</f>
        <v>12810.2349281964</v>
      </c>
      <c r="D7" s="1">
        <f>VALUE(12621.5871120333)</f>
        <v>12621.587112033299</v>
      </c>
      <c r="E7" s="1">
        <f>VALUE(4427)</f>
        <v>4427</v>
      </c>
      <c r="F7" s="1">
        <f>VALUE(4975)</f>
        <v>4975</v>
      </c>
      <c r="G7" s="1">
        <f>VALUE(5558)</f>
        <v>5558</v>
      </c>
      <c r="H7" s="1">
        <f>VALUE(6115)</f>
        <v>6115</v>
      </c>
      <c r="I7" s="1">
        <f>VALUE(6901)</f>
        <v>6901</v>
      </c>
      <c r="J7" t="s">
        <v>12</v>
      </c>
    </row>
    <row r="8" spans="1:10" x14ac:dyDescent="0.25">
      <c r="A8" t="s">
        <v>10</v>
      </c>
      <c r="B8" t="s">
        <v>19</v>
      </c>
      <c r="C8" s="1">
        <f>VALUE(21367.0722021571)</f>
        <v>21367.072202157098</v>
      </c>
      <c r="D8" s="1">
        <f>VALUE(19110.2907176977)</f>
        <v>19110.290717697699</v>
      </c>
      <c r="E8" s="1">
        <f>VALUE(3339)</f>
        <v>3339</v>
      </c>
      <c r="F8" s="1">
        <f>VALUE(3910)</f>
        <v>3910</v>
      </c>
      <c r="G8" s="1">
        <f>VALUE(4566)</f>
        <v>4566</v>
      </c>
      <c r="H8" s="1">
        <f>VALUE(5892)</f>
        <v>5892</v>
      </c>
      <c r="I8" s="2">
        <f>VALUE(8433)</f>
        <v>8433</v>
      </c>
      <c r="J8" t="s">
        <v>14</v>
      </c>
    </row>
    <row r="9" spans="1:10" x14ac:dyDescent="0.25">
      <c r="A9" t="s">
        <v>10</v>
      </c>
      <c r="B9" t="s">
        <v>20</v>
      </c>
      <c r="C9" s="1">
        <f>VALUE(3237.9684207451)</f>
        <v>3237.9684207451</v>
      </c>
      <c r="D9" s="1">
        <f>VALUE(3155.1319049573)</f>
        <v>3155.1319049572999</v>
      </c>
      <c r="E9" s="1">
        <f>VALUE(3529)</f>
        <v>3529</v>
      </c>
      <c r="F9" s="1">
        <f>VALUE(4056)</f>
        <v>4056</v>
      </c>
      <c r="G9" s="1">
        <f>VALUE(5009)</f>
        <v>5009</v>
      </c>
      <c r="H9" s="1">
        <f>VALUE(6365)</f>
        <v>6365</v>
      </c>
      <c r="I9" s="1">
        <f>VALUE(7982)</f>
        <v>7982</v>
      </c>
      <c r="J9" t="s">
        <v>12</v>
      </c>
    </row>
    <row r="10" spans="1:10" x14ac:dyDescent="0.25">
      <c r="A10" t="s">
        <v>10</v>
      </c>
      <c r="B10" t="s">
        <v>21</v>
      </c>
      <c r="C10" s="1">
        <f>VALUE(10507.4945375241)</f>
        <v>10507.4945375241</v>
      </c>
      <c r="D10" s="1">
        <f>VALUE(9550.3944658518)</f>
        <v>9550.3944658517994</v>
      </c>
      <c r="E10" s="1">
        <f>VALUE(3126)</f>
        <v>3126</v>
      </c>
      <c r="F10" s="1">
        <f>VALUE(3377)</f>
        <v>3377</v>
      </c>
      <c r="G10" s="1">
        <f>VALUE(3765)</f>
        <v>3765</v>
      </c>
      <c r="H10" s="1">
        <f>VALUE(4354)</f>
        <v>4354</v>
      </c>
      <c r="I10" s="1">
        <f>VALUE(5390)</f>
        <v>5390</v>
      </c>
      <c r="J10" t="s">
        <v>12</v>
      </c>
    </row>
    <row r="11" spans="1:10" x14ac:dyDescent="0.25">
      <c r="A11" t="s">
        <v>10</v>
      </c>
      <c r="B11" t="s">
        <v>22</v>
      </c>
      <c r="C11" s="1">
        <f>VALUE(2401.0614080627)</f>
        <v>2401.0614080627001</v>
      </c>
      <c r="D11" s="1">
        <f>VALUE(2231.7184129759)</f>
        <v>2231.7184129758998</v>
      </c>
      <c r="E11" s="1">
        <f>VALUE(3714)</f>
        <v>3714</v>
      </c>
      <c r="F11" s="1">
        <f>VALUE(4641)</f>
        <v>4641</v>
      </c>
      <c r="G11" s="1">
        <f>VALUE(6292)</f>
        <v>6292</v>
      </c>
      <c r="H11" s="1">
        <f>VALUE(8667)</f>
        <v>8667</v>
      </c>
      <c r="I11" s="1">
        <f>VALUE(11706)</f>
        <v>11706</v>
      </c>
      <c r="J11" t="s">
        <v>12</v>
      </c>
    </row>
    <row r="12" spans="1:10" x14ac:dyDescent="0.25">
      <c r="A12" t="s">
        <v>10</v>
      </c>
      <c r="B12" t="s">
        <v>23</v>
      </c>
      <c r="C12" s="1">
        <f>VALUE(6048.1748551466)</f>
        <v>6048.1748551465998</v>
      </c>
      <c r="D12" s="1">
        <f>VALUE(5852.3131539683)</f>
        <v>5852.3131539683</v>
      </c>
      <c r="E12" s="1">
        <f>VALUE(4667)</f>
        <v>4667</v>
      </c>
      <c r="F12" s="1">
        <f>VALUE(5698)</f>
        <v>5698</v>
      </c>
      <c r="G12" s="1">
        <f>VALUE(7658)</f>
        <v>7658</v>
      </c>
      <c r="H12" s="1">
        <f>VALUE(11617)</f>
        <v>11617</v>
      </c>
      <c r="I12" s="1">
        <f>VALUE(18750)</f>
        <v>18750</v>
      </c>
      <c r="J12" t="s">
        <v>12</v>
      </c>
    </row>
    <row r="13" spans="1:10" x14ac:dyDescent="0.25">
      <c r="A13" t="s">
        <v>10</v>
      </c>
      <c r="B13" t="s">
        <v>24</v>
      </c>
      <c r="C13" s="1">
        <f>VALUE(672.9659386729)</f>
        <v>672.96593867290005</v>
      </c>
      <c r="D13" s="1">
        <f>VALUE(565.5046055578)</f>
        <v>565.50460555780001</v>
      </c>
      <c r="E13" s="1">
        <f>VALUE(3597)</f>
        <v>3597</v>
      </c>
      <c r="F13" s="1">
        <f>VALUE(4519)</f>
        <v>4519</v>
      </c>
      <c r="G13" s="1">
        <f>VALUE(5527)</f>
        <v>5527</v>
      </c>
      <c r="H13" s="1">
        <f>VALUE(6853)</f>
        <v>6853</v>
      </c>
      <c r="I13" s="1">
        <f>VALUE(8875)</f>
        <v>8875</v>
      </c>
      <c r="J13" t="s">
        <v>12</v>
      </c>
    </row>
    <row r="14" spans="1:10" x14ac:dyDescent="0.25">
      <c r="A14" t="s">
        <v>10</v>
      </c>
      <c r="B14" t="s">
        <v>25</v>
      </c>
      <c r="C14" s="1">
        <f>VALUE(8128.6339761106)</f>
        <v>8128.6339761106001</v>
      </c>
      <c r="D14" s="1">
        <f>VALUE(7159.6443631946)</f>
        <v>7159.6443631946004</v>
      </c>
      <c r="E14" s="1">
        <f>VALUE(3690)</f>
        <v>3690</v>
      </c>
      <c r="F14" s="1">
        <f>VALUE(4604)</f>
        <v>4604</v>
      </c>
      <c r="G14" s="1">
        <f>VALUE(5850)</f>
        <v>5850</v>
      </c>
      <c r="H14" s="1">
        <f>VALUE(8023)</f>
        <v>8023</v>
      </c>
      <c r="I14" s="2">
        <f>VALUE(11213)</f>
        <v>11213</v>
      </c>
      <c r="J14" t="s">
        <v>14</v>
      </c>
    </row>
    <row r="15" spans="1:10" x14ac:dyDescent="0.25">
      <c r="A15" t="s">
        <v>10</v>
      </c>
      <c r="B15" t="s">
        <v>26</v>
      </c>
      <c r="C15" s="1">
        <f>VALUE(3713.195386542)</f>
        <v>3713.1953865420001</v>
      </c>
      <c r="D15" s="1">
        <f>VALUE(2555.7118745763)</f>
        <v>2555.7118745763</v>
      </c>
      <c r="E15" s="1">
        <f>VALUE(2872)</f>
        <v>2872</v>
      </c>
      <c r="F15" s="1">
        <f>VALUE(3200)</f>
        <v>3200</v>
      </c>
      <c r="G15" s="1">
        <f>VALUE(4025)</f>
        <v>4025</v>
      </c>
      <c r="H15" s="1">
        <f>VALUE(4929)</f>
        <v>4929</v>
      </c>
      <c r="I15" s="1">
        <f>VALUE(6434)</f>
        <v>6434</v>
      </c>
      <c r="J15" t="s">
        <v>12</v>
      </c>
    </row>
    <row r="16" spans="1:10" x14ac:dyDescent="0.25">
      <c r="A16" t="s">
        <v>10</v>
      </c>
      <c r="B16" t="s">
        <v>27</v>
      </c>
      <c r="C16" s="1">
        <f>VALUE(3389.8342563756)</f>
        <v>3389.8342563756</v>
      </c>
      <c r="D16" s="1">
        <f>VALUE(1949.4356762148)</f>
        <v>1949.4356762148</v>
      </c>
      <c r="E16" s="2">
        <f>VALUE(4133)</f>
        <v>4133</v>
      </c>
      <c r="F16" s="1">
        <f>VALUE(5206)</f>
        <v>5206</v>
      </c>
      <c r="G16" s="1">
        <f>VALUE(6062)</f>
        <v>6062</v>
      </c>
      <c r="H16" s="1">
        <f>VALUE(7755)</f>
        <v>7755</v>
      </c>
      <c r="I16" s="2">
        <f>VALUE(10714)</f>
        <v>10714</v>
      </c>
      <c r="J16" t="s">
        <v>14</v>
      </c>
    </row>
    <row r="17" spans="1:10" x14ac:dyDescent="0.25">
      <c r="A17" t="s">
        <v>10</v>
      </c>
      <c r="B17" t="s">
        <v>28</v>
      </c>
      <c r="C17" s="1">
        <f>VALUE(9594.5599886183)</f>
        <v>9594.5599886183008</v>
      </c>
      <c r="D17" s="1">
        <f>VALUE(7444.1653093005)</f>
        <v>7444.1653093004998</v>
      </c>
      <c r="E17" s="1">
        <f>VALUE(4209)</f>
        <v>4209</v>
      </c>
      <c r="F17" s="1">
        <f>VALUE(4838)</f>
        <v>4838</v>
      </c>
      <c r="G17" s="1">
        <f>VALUE(5590)</f>
        <v>5590</v>
      </c>
      <c r="H17" s="1">
        <f>VALUE(7010)</f>
        <v>7010</v>
      </c>
      <c r="I17" s="1">
        <f>VALUE(8104)</f>
        <v>8104</v>
      </c>
      <c r="J17" t="s">
        <v>12</v>
      </c>
    </row>
    <row r="18" spans="1:10" x14ac:dyDescent="0.25">
      <c r="A18" t="s">
        <v>10</v>
      </c>
      <c r="B18" t="s">
        <v>29</v>
      </c>
      <c r="C18" s="1">
        <f>VALUE(1686.3813641267)</f>
        <v>1686.3813641267</v>
      </c>
      <c r="D18" s="1">
        <f>VALUE(1347.0771757099)</f>
        <v>1347.0771757099001</v>
      </c>
      <c r="E18" s="2">
        <f>VALUE(3286)</f>
        <v>3286</v>
      </c>
      <c r="F18" s="1">
        <f>VALUE(4286)</f>
        <v>4286</v>
      </c>
      <c r="G18" s="1">
        <f>VALUE(5517)</f>
        <v>5517</v>
      </c>
      <c r="H18" s="1">
        <f>VALUE(6870)</f>
        <v>6870</v>
      </c>
      <c r="I18" s="2">
        <f>VALUE(11202)</f>
        <v>11202</v>
      </c>
      <c r="J18" t="s">
        <v>14</v>
      </c>
    </row>
    <row r="19" spans="1:10" x14ac:dyDescent="0.25">
      <c r="A19" t="s">
        <v>10</v>
      </c>
      <c r="B19" t="s">
        <v>30</v>
      </c>
      <c r="C19" s="1">
        <f>VALUE(1535.2904371437)</f>
        <v>1535.2904371437</v>
      </c>
      <c r="D19" s="1">
        <f>VALUE(1254.1050925245)</f>
        <v>1254.1050925244999</v>
      </c>
      <c r="E19" s="1">
        <f>VALUE(2758)</f>
        <v>2758</v>
      </c>
      <c r="F19" s="1">
        <f>VALUE(3143)</f>
        <v>3143</v>
      </c>
      <c r="G19" s="1">
        <f>VALUE(4116)</f>
        <v>4116</v>
      </c>
      <c r="H19" s="1">
        <f>VALUE(5893)</f>
        <v>5893</v>
      </c>
      <c r="I19" s="1">
        <f>VALUE(8044)</f>
        <v>8044</v>
      </c>
      <c r="J19" t="s">
        <v>12</v>
      </c>
    </row>
    <row r="20" spans="1:10" x14ac:dyDescent="0.25">
      <c r="A20" t="s">
        <v>31</v>
      </c>
      <c r="B20" t="s">
        <v>11</v>
      </c>
      <c r="C20" s="1">
        <f>VALUE(121771.29)</f>
        <v>121771.29</v>
      </c>
      <c r="D20" s="1">
        <f>VALUE(111724.66)</f>
        <v>111724.66</v>
      </c>
      <c r="E20" s="1">
        <f>VALUE(3106)</f>
        <v>3106</v>
      </c>
      <c r="F20" s="1">
        <f>VALUE(3951)</f>
        <v>3951</v>
      </c>
      <c r="G20" s="1">
        <f>VALUE(5091)</f>
        <v>5091</v>
      </c>
      <c r="H20" s="1">
        <f>VALUE(6538)</f>
        <v>6538</v>
      </c>
      <c r="I20" s="1">
        <f>VALUE(9038)</f>
        <v>9038</v>
      </c>
      <c r="J20" t="s">
        <v>12</v>
      </c>
    </row>
    <row r="21" spans="1:10" x14ac:dyDescent="0.25">
      <c r="A21" t="s">
        <v>31</v>
      </c>
      <c r="B21" t="s">
        <v>13</v>
      </c>
      <c r="C21" s="1">
        <f>VALUE(410.31)</f>
        <v>410.31</v>
      </c>
      <c r="D21" s="1">
        <f>VALUE(427.69)</f>
        <v>427.69</v>
      </c>
      <c r="E21" s="1">
        <f>VALUE(4396)</f>
        <v>4396</v>
      </c>
      <c r="F21" s="1">
        <f>VALUE(5090)</f>
        <v>5090</v>
      </c>
      <c r="G21" s="1">
        <f>VALUE(5570)</f>
        <v>5570</v>
      </c>
      <c r="H21" s="1">
        <f>VALUE(5989)</f>
        <v>5989</v>
      </c>
      <c r="I21" s="1">
        <f>VALUE(6929)</f>
        <v>6929</v>
      </c>
      <c r="J21" t="s">
        <v>12</v>
      </c>
    </row>
    <row r="22" spans="1:10" x14ac:dyDescent="0.25">
      <c r="A22" t="s">
        <v>31</v>
      </c>
      <c r="B22" t="s">
        <v>15</v>
      </c>
      <c r="C22" s="1">
        <f>VALUE(26870.95)</f>
        <v>26870.95</v>
      </c>
      <c r="D22" s="1">
        <f>VALUE(26816.45)</f>
        <v>26816.45</v>
      </c>
      <c r="E22" s="1">
        <f>VALUE(2780)</f>
        <v>2780</v>
      </c>
      <c r="F22" s="1">
        <f>VALUE(3280)</f>
        <v>3280</v>
      </c>
      <c r="G22" s="1">
        <f>VALUE(4333)</f>
        <v>4333</v>
      </c>
      <c r="H22" s="1">
        <f>VALUE(5605)</f>
        <v>5605</v>
      </c>
      <c r="I22" s="1">
        <f>VALUE(7432)</f>
        <v>7432</v>
      </c>
      <c r="J22" t="s">
        <v>12</v>
      </c>
    </row>
    <row r="23" spans="1:10" x14ac:dyDescent="0.25">
      <c r="A23" t="s">
        <v>31</v>
      </c>
      <c r="B23" t="s">
        <v>16</v>
      </c>
      <c r="C23" s="1">
        <f>VALUE(747.96)</f>
        <v>747.96</v>
      </c>
      <c r="D23" s="1">
        <f>VALUE(757.02)</f>
        <v>757.02</v>
      </c>
      <c r="E23" s="1">
        <f>VALUE(5207)</f>
        <v>5207</v>
      </c>
      <c r="F23" s="1">
        <f>VALUE(5881)</f>
        <v>5881</v>
      </c>
      <c r="G23" s="1">
        <f>VALUE(6550)</f>
        <v>6550</v>
      </c>
      <c r="H23" s="2">
        <f>VALUE(7253)</f>
        <v>7253</v>
      </c>
      <c r="I23" s="2">
        <f>VALUE(8784)</f>
        <v>8784</v>
      </c>
      <c r="J23" t="s">
        <v>14</v>
      </c>
    </row>
    <row r="24" spans="1:10" x14ac:dyDescent="0.25">
      <c r="A24" t="s">
        <v>31</v>
      </c>
      <c r="B24" t="s">
        <v>17</v>
      </c>
      <c r="C24" s="1">
        <f>VALUE(354.63)</f>
        <v>354.63</v>
      </c>
      <c r="D24" s="1">
        <f>VALUE(385.25)</f>
        <v>385.25</v>
      </c>
      <c r="E24" s="1">
        <f>VALUE(3153)</f>
        <v>3153</v>
      </c>
      <c r="F24" s="1">
        <f>VALUE(3667)</f>
        <v>3667</v>
      </c>
      <c r="G24" s="1">
        <f>VALUE(4161)</f>
        <v>4161</v>
      </c>
      <c r="H24" s="1">
        <f>VALUE(4839)</f>
        <v>4839</v>
      </c>
      <c r="I24" s="1">
        <f>VALUE(5750)</f>
        <v>5750</v>
      </c>
      <c r="J24" t="s">
        <v>12</v>
      </c>
    </row>
    <row r="25" spans="1:10" x14ac:dyDescent="0.25">
      <c r="A25" t="s">
        <v>31</v>
      </c>
      <c r="B25" t="s">
        <v>18</v>
      </c>
      <c r="C25" s="1">
        <f>VALUE(17710.08)</f>
        <v>17710.080000000002</v>
      </c>
      <c r="D25" s="1">
        <f>VALUE(17868.09)</f>
        <v>17868.09</v>
      </c>
      <c r="E25" s="1">
        <f>VALUE(4153)</f>
        <v>4153</v>
      </c>
      <c r="F25" s="1">
        <f>VALUE(4913)</f>
        <v>4913</v>
      </c>
      <c r="G25" s="1">
        <f>VALUE(5708)</f>
        <v>5708</v>
      </c>
      <c r="H25" s="1">
        <f>VALUE(6540)</f>
        <v>6540</v>
      </c>
      <c r="I25" s="1">
        <f>VALUE(7998)</f>
        <v>7998</v>
      </c>
      <c r="J25" t="s">
        <v>12</v>
      </c>
    </row>
    <row r="26" spans="1:10" x14ac:dyDescent="0.25">
      <c r="A26" t="s">
        <v>31</v>
      </c>
      <c r="B26" t="s">
        <v>19</v>
      </c>
      <c r="C26" s="1">
        <f>VALUE(21906.71)</f>
        <v>21906.71</v>
      </c>
      <c r="D26" s="1">
        <f>VALUE(19684.85)</f>
        <v>19684.849999999999</v>
      </c>
      <c r="E26" s="1">
        <f>VALUE(3357)</f>
        <v>3357</v>
      </c>
      <c r="F26" s="1">
        <f>VALUE(4003)</f>
        <v>4003</v>
      </c>
      <c r="G26" s="1">
        <f>VALUE(4769)</f>
        <v>4769</v>
      </c>
      <c r="H26" s="1">
        <f>VALUE(6283)</f>
        <v>6283</v>
      </c>
      <c r="I26" s="2">
        <f>VALUE(9477)</f>
        <v>9477</v>
      </c>
      <c r="J26" t="s">
        <v>14</v>
      </c>
    </row>
    <row r="27" spans="1:10" x14ac:dyDescent="0.25">
      <c r="A27" t="s">
        <v>31</v>
      </c>
      <c r="B27" t="s">
        <v>20</v>
      </c>
      <c r="C27" s="1">
        <f>VALUE(3145.01)</f>
        <v>3145.01</v>
      </c>
      <c r="D27" s="1">
        <f>VALUE(3046.08)</f>
        <v>3046.08</v>
      </c>
      <c r="E27" s="1">
        <f>VALUE(3593)</f>
        <v>3593</v>
      </c>
      <c r="F27" s="1">
        <f>VALUE(4221)</f>
        <v>4221</v>
      </c>
      <c r="G27" s="1">
        <f>VALUE(5200)</f>
        <v>5200</v>
      </c>
      <c r="H27" s="1">
        <f>VALUE(6397)</f>
        <v>6397</v>
      </c>
      <c r="I27" s="1">
        <f>VALUE(7550)</f>
        <v>7550</v>
      </c>
      <c r="J27" t="s">
        <v>12</v>
      </c>
    </row>
    <row r="28" spans="1:10" x14ac:dyDescent="0.25">
      <c r="A28" t="s">
        <v>31</v>
      </c>
      <c r="B28" t="s">
        <v>21</v>
      </c>
      <c r="C28" s="1">
        <f>VALUE(9223.95)</f>
        <v>9223.9500000000007</v>
      </c>
      <c r="D28" s="1">
        <f>VALUE(8400.96)</f>
        <v>8400.9599999999991</v>
      </c>
      <c r="E28" s="1">
        <f>VALUE(3203)</f>
        <v>3203</v>
      </c>
      <c r="F28" s="1">
        <f>VALUE(3508)</f>
        <v>3508</v>
      </c>
      <c r="G28" s="1">
        <f>VALUE(3945)</f>
        <v>3945</v>
      </c>
      <c r="H28" s="1">
        <f>VALUE(4605)</f>
        <v>4605</v>
      </c>
      <c r="I28" s="1">
        <f>VALUE(5714)</f>
        <v>5714</v>
      </c>
      <c r="J28" t="s">
        <v>12</v>
      </c>
    </row>
    <row r="29" spans="1:10" x14ac:dyDescent="0.25">
      <c r="A29" t="s">
        <v>31</v>
      </c>
      <c r="B29" t="s">
        <v>22</v>
      </c>
      <c r="C29" s="1">
        <f>VALUE(2817.37)</f>
        <v>2817.37</v>
      </c>
      <c r="D29" s="1">
        <f>VALUE(2648.26)</f>
        <v>2648.26</v>
      </c>
      <c r="E29" s="2">
        <f>VALUE(3519)</f>
        <v>3519</v>
      </c>
      <c r="F29" s="1">
        <f>VALUE(4884)</f>
        <v>4884</v>
      </c>
      <c r="G29" s="1">
        <f>VALUE(6508)</f>
        <v>6508</v>
      </c>
      <c r="H29" s="1">
        <f>VALUE(8533)</f>
        <v>8533</v>
      </c>
      <c r="I29" s="1">
        <f>VALUE(10555)</f>
        <v>10555</v>
      </c>
      <c r="J29" t="s">
        <v>14</v>
      </c>
    </row>
    <row r="30" spans="1:10" x14ac:dyDescent="0.25">
      <c r="A30" t="s">
        <v>31</v>
      </c>
      <c r="B30" t="s">
        <v>23</v>
      </c>
      <c r="C30" s="1">
        <f>VALUE(5958.75)</f>
        <v>5958.75</v>
      </c>
      <c r="D30" s="1">
        <f>VALUE(5746.23)</f>
        <v>5746.23</v>
      </c>
      <c r="E30" s="1">
        <f>VALUE(4659)</f>
        <v>4659</v>
      </c>
      <c r="F30" s="1">
        <f>VALUE(5695)</f>
        <v>5695</v>
      </c>
      <c r="G30" s="1">
        <f>VALUE(7664)</f>
        <v>7664</v>
      </c>
      <c r="H30" s="1">
        <f>VALUE(11510)</f>
        <v>11510</v>
      </c>
      <c r="I30" s="1">
        <f>VALUE(17790)</f>
        <v>17790</v>
      </c>
      <c r="J30" t="s">
        <v>12</v>
      </c>
    </row>
    <row r="31" spans="1:10" x14ac:dyDescent="0.25">
      <c r="A31" t="s">
        <v>31</v>
      </c>
      <c r="B31" t="s">
        <v>24</v>
      </c>
      <c r="C31" s="1">
        <f>VALUE(747.97)</f>
        <v>747.97</v>
      </c>
      <c r="D31" s="1">
        <f>VALUE(678.65)</f>
        <v>678.65</v>
      </c>
      <c r="E31" s="1">
        <f>VALUE(3791)</f>
        <v>3791</v>
      </c>
      <c r="F31" s="1">
        <f>VALUE(4767)</f>
        <v>4767</v>
      </c>
      <c r="G31" s="1">
        <f>VALUE(5957)</f>
        <v>5957</v>
      </c>
      <c r="H31" s="1">
        <f>VALUE(7008)</f>
        <v>7008</v>
      </c>
      <c r="I31" s="1">
        <f>VALUE(9208)</f>
        <v>9208</v>
      </c>
      <c r="J31" t="s">
        <v>12</v>
      </c>
    </row>
    <row r="32" spans="1:10" x14ac:dyDescent="0.25">
      <c r="A32" t="s">
        <v>31</v>
      </c>
      <c r="B32" t="s">
        <v>25</v>
      </c>
      <c r="C32" s="1">
        <f>VALUE(9345.06)</f>
        <v>9345.06</v>
      </c>
      <c r="D32" s="1">
        <f>VALUE(8429.15)</f>
        <v>8429.15</v>
      </c>
      <c r="E32" s="2">
        <f>VALUE(3290)</f>
        <v>3290</v>
      </c>
      <c r="F32" s="2">
        <f>VALUE(4418)</f>
        <v>4418</v>
      </c>
      <c r="G32" s="1">
        <f>VALUE(6015)</f>
        <v>6015</v>
      </c>
      <c r="H32" s="2">
        <f>VALUE(8750)</f>
        <v>8750</v>
      </c>
      <c r="I32" s="1">
        <f>VALUE(11768)</f>
        <v>11768</v>
      </c>
      <c r="J32" t="s">
        <v>14</v>
      </c>
    </row>
    <row r="33" spans="1:10" x14ac:dyDescent="0.25">
      <c r="A33" t="s">
        <v>31</v>
      </c>
      <c r="B33" t="s">
        <v>26</v>
      </c>
      <c r="C33" s="1">
        <f>VALUE(4357.66)</f>
        <v>4357.66</v>
      </c>
      <c r="D33" s="1">
        <f>VALUE(3157.96)</f>
        <v>3157.96</v>
      </c>
      <c r="E33" s="1">
        <f>VALUE(2740)</f>
        <v>2740</v>
      </c>
      <c r="F33" s="1">
        <f>VALUE(3250)</f>
        <v>3250</v>
      </c>
      <c r="G33" s="1">
        <f>VALUE(4272)</f>
        <v>4272</v>
      </c>
      <c r="H33" s="1">
        <f>VALUE(5437)</f>
        <v>5437</v>
      </c>
      <c r="I33" s="2">
        <f>VALUE(7222)</f>
        <v>7222</v>
      </c>
      <c r="J33" t="s">
        <v>14</v>
      </c>
    </row>
    <row r="34" spans="1:10" x14ac:dyDescent="0.25">
      <c r="A34" t="s">
        <v>31</v>
      </c>
      <c r="B34" t="s">
        <v>27</v>
      </c>
      <c r="C34" s="1">
        <f>VALUE(1941.92)</f>
        <v>1941.92</v>
      </c>
      <c r="D34" s="1">
        <f>VALUE(1145.22)</f>
        <v>1145.22</v>
      </c>
      <c r="E34" s="1">
        <f>VALUE(3311)</f>
        <v>3311</v>
      </c>
      <c r="F34" s="1">
        <f>VALUE(4254)</f>
        <v>4254</v>
      </c>
      <c r="G34" s="1">
        <f>VALUE(5768)</f>
        <v>5768</v>
      </c>
      <c r="H34" s="1">
        <f>VALUE(7635)</f>
        <v>7635</v>
      </c>
      <c r="I34" s="2">
        <f>VALUE(10166)</f>
        <v>10166</v>
      </c>
      <c r="J34" t="s">
        <v>14</v>
      </c>
    </row>
    <row r="35" spans="1:10" x14ac:dyDescent="0.25">
      <c r="A35" t="s">
        <v>31</v>
      </c>
      <c r="B35" t="s">
        <v>28</v>
      </c>
      <c r="C35" s="1">
        <f>VALUE(12726.13)</f>
        <v>12726.13</v>
      </c>
      <c r="D35" s="1">
        <f>VALUE(9657.62)</f>
        <v>9657.6200000000008</v>
      </c>
      <c r="E35" s="2">
        <f>VALUE(3640)</f>
        <v>3640</v>
      </c>
      <c r="F35" s="1">
        <f>VALUE(4637)</f>
        <v>4637</v>
      </c>
      <c r="G35" s="1">
        <f>VALUE(5577)</f>
        <v>5577</v>
      </c>
      <c r="H35" s="1">
        <f>VALUE(7121)</f>
        <v>7121</v>
      </c>
      <c r="I35" s="1">
        <f>VALUE(8458)</f>
        <v>8458</v>
      </c>
      <c r="J35" t="s">
        <v>14</v>
      </c>
    </row>
    <row r="36" spans="1:10" x14ac:dyDescent="0.25">
      <c r="A36" t="s">
        <v>31</v>
      </c>
      <c r="B36" t="s">
        <v>29</v>
      </c>
      <c r="C36" s="1">
        <f>VALUE(1584.48)</f>
        <v>1584.48</v>
      </c>
      <c r="D36" s="1">
        <f>VALUE(1255.97)</f>
        <v>1255.97</v>
      </c>
      <c r="E36" s="2">
        <f>VALUE(3129)</f>
        <v>3129</v>
      </c>
      <c r="F36" s="1">
        <f>VALUE(4256)</f>
        <v>4256</v>
      </c>
      <c r="G36" s="1">
        <f>VALUE(5702)</f>
        <v>5702</v>
      </c>
      <c r="H36" s="1">
        <f>VALUE(7031)</f>
        <v>7031</v>
      </c>
      <c r="I36" s="2">
        <f>VALUE(10867)</f>
        <v>10867</v>
      </c>
      <c r="J36" t="s">
        <v>14</v>
      </c>
    </row>
    <row r="37" spans="1:10" x14ac:dyDescent="0.25">
      <c r="A37" t="s">
        <v>31</v>
      </c>
      <c r="B37" t="s">
        <v>30</v>
      </c>
      <c r="C37" s="1">
        <f>VALUE(1922.35)</f>
        <v>1922.35</v>
      </c>
      <c r="D37" s="1">
        <f>VALUE(1619.21)</f>
        <v>1619.21</v>
      </c>
      <c r="E37" s="2">
        <f>VALUE(2590)</f>
        <v>2590</v>
      </c>
      <c r="F37" s="1">
        <f>VALUE(3163)</f>
        <v>3163</v>
      </c>
      <c r="G37" s="2">
        <f>VALUE(4078)</f>
        <v>4078</v>
      </c>
      <c r="H37" s="1">
        <f>VALUE(5633)</f>
        <v>5633</v>
      </c>
      <c r="I37" s="1">
        <f>VALUE(7607)</f>
        <v>7607</v>
      </c>
      <c r="J37" t="s">
        <v>14</v>
      </c>
    </row>
    <row r="38" spans="1:10" x14ac:dyDescent="0.25">
      <c r="A38" t="s">
        <v>32</v>
      </c>
      <c r="B38" t="s">
        <v>11</v>
      </c>
      <c r="C38" s="1">
        <f>VALUE(122088.92)</f>
        <v>122088.92</v>
      </c>
      <c r="D38" s="1">
        <f>VALUE(106039.91)</f>
        <v>106039.91</v>
      </c>
      <c r="E38" s="1">
        <f>VALUE(3402)</f>
        <v>3402</v>
      </c>
      <c r="F38" s="1">
        <f>VALUE(4051)</f>
        <v>4051</v>
      </c>
      <c r="G38" s="1">
        <f>VALUE(5125)</f>
        <v>5125</v>
      </c>
      <c r="H38" s="1">
        <f>VALUE(6394)</f>
        <v>6394</v>
      </c>
      <c r="I38" s="1">
        <f>VALUE(8333)</f>
        <v>8333</v>
      </c>
      <c r="J38" t="s">
        <v>12</v>
      </c>
    </row>
    <row r="39" spans="1:10" x14ac:dyDescent="0.25">
      <c r="A39" t="s">
        <v>32</v>
      </c>
      <c r="B39" t="s">
        <v>13</v>
      </c>
      <c r="C39" s="1">
        <f>VALUE(400.7)</f>
        <v>400.7</v>
      </c>
      <c r="D39" s="1">
        <f>VALUE(409.14)</f>
        <v>409.14</v>
      </c>
      <c r="E39" s="1">
        <f>VALUE(5169)</f>
        <v>5169</v>
      </c>
      <c r="F39" s="1">
        <f>VALUE(5495)</f>
        <v>5495</v>
      </c>
      <c r="G39" s="1">
        <f>VALUE(5856)</f>
        <v>5856</v>
      </c>
      <c r="H39" s="1">
        <f>VALUE(6283)</f>
        <v>6283</v>
      </c>
      <c r="I39" s="1">
        <f>VALUE(6727)</f>
        <v>6727</v>
      </c>
      <c r="J39" t="s">
        <v>12</v>
      </c>
    </row>
    <row r="40" spans="1:10" x14ac:dyDescent="0.25">
      <c r="A40" t="s">
        <v>32</v>
      </c>
      <c r="B40" t="s">
        <v>15</v>
      </c>
      <c r="C40" s="1">
        <f>VALUE(23343.12)</f>
        <v>23343.119999999999</v>
      </c>
      <c r="D40" s="1">
        <f>VALUE(22785.86)</f>
        <v>22785.86</v>
      </c>
      <c r="E40" s="1">
        <f>VALUE(3142)</f>
        <v>3142</v>
      </c>
      <c r="F40" s="1">
        <f>VALUE(3566)</f>
        <v>3566</v>
      </c>
      <c r="G40" s="1">
        <f>VALUE(4504)</f>
        <v>4504</v>
      </c>
      <c r="H40" s="1">
        <f>VALUE(5731)</f>
        <v>5731</v>
      </c>
      <c r="I40" s="1">
        <f>VALUE(7407)</f>
        <v>7407</v>
      </c>
      <c r="J40" t="s">
        <v>12</v>
      </c>
    </row>
    <row r="41" spans="1:10" x14ac:dyDescent="0.25">
      <c r="A41" t="s">
        <v>32</v>
      </c>
      <c r="B41" t="s">
        <v>16</v>
      </c>
      <c r="C41" s="1">
        <f>VALUE(640.72)</f>
        <v>640.72</v>
      </c>
      <c r="D41" s="1">
        <f>VALUE(645.18)</f>
        <v>645.17999999999995</v>
      </c>
      <c r="E41" s="1">
        <f>VALUE(5461)</f>
        <v>5461</v>
      </c>
      <c r="F41" s="1">
        <f>VALUE(6100)</f>
        <v>6100</v>
      </c>
      <c r="G41" s="1">
        <f>VALUE(6848)</f>
        <v>6848</v>
      </c>
      <c r="H41" s="1">
        <f>VALUE(7906)</f>
        <v>7906</v>
      </c>
      <c r="I41" s="2">
        <f>VALUE(8813)</f>
        <v>8813</v>
      </c>
      <c r="J41" t="s">
        <v>14</v>
      </c>
    </row>
    <row r="42" spans="1:10" x14ac:dyDescent="0.25">
      <c r="A42" t="s">
        <v>32</v>
      </c>
      <c r="B42" t="s">
        <v>17</v>
      </c>
      <c r="C42" s="1">
        <f>VALUE(474.74)</f>
        <v>474.74</v>
      </c>
      <c r="D42" s="1">
        <f>VALUE(497.05)</f>
        <v>497.05</v>
      </c>
      <c r="E42" s="2">
        <f>VALUE(3302)</f>
        <v>3302</v>
      </c>
      <c r="F42" s="1">
        <f>VALUE(3714)</f>
        <v>3714</v>
      </c>
      <c r="G42" s="1">
        <f>VALUE(4222)</f>
        <v>4222</v>
      </c>
      <c r="H42" s="1">
        <f>VALUE(4853)</f>
        <v>4853</v>
      </c>
      <c r="I42" s="1">
        <f>VALUE(5793)</f>
        <v>5793</v>
      </c>
      <c r="J42" t="s">
        <v>14</v>
      </c>
    </row>
    <row r="43" spans="1:10" x14ac:dyDescent="0.25">
      <c r="A43" t="s">
        <v>32</v>
      </c>
      <c r="B43" t="s">
        <v>18</v>
      </c>
      <c r="C43" s="1">
        <f>VALUE(14681.99)</f>
        <v>14681.99</v>
      </c>
      <c r="D43" s="1">
        <f>VALUE(14739.11)</f>
        <v>14739.11</v>
      </c>
      <c r="E43" s="1">
        <f>VALUE(4160)</f>
        <v>4160</v>
      </c>
      <c r="F43" s="1">
        <f>VALUE(4944)</f>
        <v>4944</v>
      </c>
      <c r="G43" s="1">
        <f>VALUE(5520)</f>
        <v>5520</v>
      </c>
      <c r="H43" s="1">
        <f>VALUE(6442)</f>
        <v>6442</v>
      </c>
      <c r="I43" s="1">
        <f>VALUE(7283)</f>
        <v>7283</v>
      </c>
      <c r="J43" t="s">
        <v>12</v>
      </c>
    </row>
    <row r="44" spans="1:10" x14ac:dyDescent="0.25">
      <c r="A44" t="s">
        <v>32</v>
      </c>
      <c r="B44" t="s">
        <v>19</v>
      </c>
      <c r="C44" s="1">
        <f>VALUE(22431.1)</f>
        <v>22431.1</v>
      </c>
      <c r="D44" s="1">
        <f>VALUE(18436.33)</f>
        <v>18436.330000000002</v>
      </c>
      <c r="E44" s="1">
        <f>VALUE(3514)</f>
        <v>3514</v>
      </c>
      <c r="F44" s="1">
        <f>VALUE(4043)</f>
        <v>4043</v>
      </c>
      <c r="G44" s="1">
        <f>VALUE(4860)</f>
        <v>4860</v>
      </c>
      <c r="H44" s="1">
        <f>VALUE(5965)</f>
        <v>5965</v>
      </c>
      <c r="I44" s="1">
        <f>VALUE(8157)</f>
        <v>8157</v>
      </c>
      <c r="J44" t="s">
        <v>12</v>
      </c>
    </row>
    <row r="45" spans="1:10" x14ac:dyDescent="0.25">
      <c r="A45" t="s">
        <v>32</v>
      </c>
      <c r="B45" t="s">
        <v>20</v>
      </c>
      <c r="C45" s="1">
        <f>VALUE(3916.78)</f>
        <v>3916.78</v>
      </c>
      <c r="D45" s="1">
        <f>VALUE(3538.36)</f>
        <v>3538.36</v>
      </c>
      <c r="E45" s="2">
        <f>VALUE(3321)</f>
        <v>3321</v>
      </c>
      <c r="F45" s="1">
        <f>VALUE(3746)</f>
        <v>3746</v>
      </c>
      <c r="G45" s="1">
        <f>VALUE(4775)</f>
        <v>4775</v>
      </c>
      <c r="H45" s="1">
        <f>VALUE(5904)</f>
        <v>5904</v>
      </c>
      <c r="I45" s="1">
        <f>VALUE(6757)</f>
        <v>6757</v>
      </c>
      <c r="J45" t="s">
        <v>14</v>
      </c>
    </row>
    <row r="46" spans="1:10" x14ac:dyDescent="0.25">
      <c r="A46" t="s">
        <v>32</v>
      </c>
      <c r="B46" t="s">
        <v>21</v>
      </c>
      <c r="C46" s="1">
        <f>VALUE(9229.55)</f>
        <v>9229.5499999999993</v>
      </c>
      <c r="D46" s="1">
        <f>VALUE(7345.64)</f>
        <v>7345.64</v>
      </c>
      <c r="E46" s="1">
        <f>VALUE(3402)</f>
        <v>3402</v>
      </c>
      <c r="F46" s="1">
        <f>VALUE(3611)</f>
        <v>3611</v>
      </c>
      <c r="G46" s="1">
        <f>VALUE(3895)</f>
        <v>3895</v>
      </c>
      <c r="H46" s="1">
        <f>VALUE(4579)</f>
        <v>4579</v>
      </c>
      <c r="I46" s="1">
        <f>VALUE(5935)</f>
        <v>5935</v>
      </c>
      <c r="J46" t="s">
        <v>12</v>
      </c>
    </row>
    <row r="47" spans="1:10" x14ac:dyDescent="0.25">
      <c r="A47" t="s">
        <v>32</v>
      </c>
      <c r="B47" t="s">
        <v>22</v>
      </c>
      <c r="C47" s="1">
        <f>VALUE(2655.71)</f>
        <v>2655.71</v>
      </c>
      <c r="D47" s="1">
        <f>VALUE(2318.44)</f>
        <v>2318.44</v>
      </c>
      <c r="E47" s="1">
        <f>VALUE(3405)</f>
        <v>3405</v>
      </c>
      <c r="F47" s="1">
        <f>VALUE(4287)</f>
        <v>4287</v>
      </c>
      <c r="G47" s="1">
        <f>VALUE(5510)</f>
        <v>5510</v>
      </c>
      <c r="H47" s="1">
        <f>VALUE(7335)</f>
        <v>7335</v>
      </c>
      <c r="I47" s="1">
        <f>VALUE(9000)</f>
        <v>9000</v>
      </c>
      <c r="J47" t="s">
        <v>12</v>
      </c>
    </row>
    <row r="48" spans="1:10" x14ac:dyDescent="0.25">
      <c r="A48" t="s">
        <v>32</v>
      </c>
      <c r="B48" t="s">
        <v>23</v>
      </c>
      <c r="C48" s="1">
        <f>VALUE(7237.54)</f>
        <v>7237.54</v>
      </c>
      <c r="D48" s="1">
        <f>VALUE(6933.82)</f>
        <v>6933.82</v>
      </c>
      <c r="E48" s="1">
        <f>VALUE(4824)</f>
        <v>4824</v>
      </c>
      <c r="F48" s="1">
        <f>VALUE(5872)</f>
        <v>5872</v>
      </c>
      <c r="G48" s="1">
        <f>VALUE(7744)</f>
        <v>7744</v>
      </c>
      <c r="H48" s="1">
        <f>VALUE(11434)</f>
        <v>11434</v>
      </c>
      <c r="I48" s="1">
        <f>VALUE(16776)</f>
        <v>16776</v>
      </c>
      <c r="J48" t="s">
        <v>12</v>
      </c>
    </row>
    <row r="49" spans="1:10" x14ac:dyDescent="0.25">
      <c r="A49" t="s">
        <v>32</v>
      </c>
      <c r="B49" t="s">
        <v>24</v>
      </c>
      <c r="C49" s="1">
        <f>VALUE(986.18)</f>
        <v>986.18</v>
      </c>
      <c r="D49" s="1">
        <f>VALUE(834.45)</f>
        <v>834.45</v>
      </c>
      <c r="E49" s="2">
        <f>VALUE(3372)</f>
        <v>3372</v>
      </c>
      <c r="F49" s="2">
        <f>VALUE(4130)</f>
        <v>4130</v>
      </c>
      <c r="G49" s="1">
        <f>VALUE(5472)</f>
        <v>5472</v>
      </c>
      <c r="H49" s="1">
        <f>VALUE(7222)</f>
        <v>7222</v>
      </c>
      <c r="I49" s="1">
        <f>VALUE(8475)</f>
        <v>8475</v>
      </c>
      <c r="J49" t="s">
        <v>14</v>
      </c>
    </row>
    <row r="50" spans="1:10" x14ac:dyDescent="0.25">
      <c r="A50" t="s">
        <v>32</v>
      </c>
      <c r="B50" t="s">
        <v>25</v>
      </c>
      <c r="C50" s="1">
        <f>VALUE(10199.63)</f>
        <v>10199.629999999999</v>
      </c>
      <c r="D50" s="1">
        <f>VALUE(8658.87)</f>
        <v>8658.8700000000008</v>
      </c>
      <c r="E50" s="1">
        <f>VALUE(3793)</f>
        <v>3793</v>
      </c>
      <c r="F50" s="1">
        <f>VALUE(4609)</f>
        <v>4609</v>
      </c>
      <c r="G50" s="1">
        <f>VALUE(5624)</f>
        <v>5624</v>
      </c>
      <c r="H50" s="1">
        <f>VALUE(7258)</f>
        <v>7258</v>
      </c>
      <c r="I50" s="1">
        <f>VALUE(10300)</f>
        <v>10300</v>
      </c>
      <c r="J50" t="s">
        <v>12</v>
      </c>
    </row>
    <row r="51" spans="1:10" x14ac:dyDescent="0.25">
      <c r="A51" t="s">
        <v>32</v>
      </c>
      <c r="B51" t="s">
        <v>26</v>
      </c>
      <c r="C51" s="1">
        <f>VALUE(8006.42)</f>
        <v>8006.42</v>
      </c>
      <c r="D51" s="1">
        <f>VALUE(5846.64)</f>
        <v>5846.64</v>
      </c>
      <c r="E51" s="1">
        <f>VALUE(3046)</f>
        <v>3046</v>
      </c>
      <c r="F51" s="1">
        <f>VALUE(3456)</f>
        <v>3456</v>
      </c>
      <c r="G51" s="1">
        <f>VALUE(4333)</f>
        <v>4333</v>
      </c>
      <c r="H51" s="1">
        <f>VALUE(5210)</f>
        <v>5210</v>
      </c>
      <c r="I51" s="1">
        <f>VALUE(6052)</f>
        <v>6052</v>
      </c>
      <c r="J51" t="s">
        <v>12</v>
      </c>
    </row>
    <row r="52" spans="1:10" x14ac:dyDescent="0.25">
      <c r="A52" t="s">
        <v>32</v>
      </c>
      <c r="B52" t="s">
        <v>27</v>
      </c>
      <c r="C52" s="1">
        <f>VALUE(1726.81)</f>
        <v>1726.81</v>
      </c>
      <c r="D52" s="1">
        <f>VALUE(990.18)</f>
        <v>990.18</v>
      </c>
      <c r="E52" s="2">
        <f>VALUE(4167)</f>
        <v>4167</v>
      </c>
      <c r="F52" s="2">
        <f>VALUE(5200)</f>
        <v>5200</v>
      </c>
      <c r="G52" s="1">
        <f>VALUE(6115)</f>
        <v>6115</v>
      </c>
      <c r="H52" s="2">
        <f>VALUE(7545)</f>
        <v>7545</v>
      </c>
      <c r="I52" s="2">
        <f>VALUE(10573)</f>
        <v>10573</v>
      </c>
      <c r="J52" t="s">
        <v>14</v>
      </c>
    </row>
    <row r="53" spans="1:10" x14ac:dyDescent="0.25">
      <c r="A53" t="s">
        <v>32</v>
      </c>
      <c r="B53" t="s">
        <v>28</v>
      </c>
      <c r="C53" s="1">
        <f>VALUE(11891.29)</f>
        <v>11891.29</v>
      </c>
      <c r="D53" s="1">
        <f>VALUE(8855.34)</f>
        <v>8855.34</v>
      </c>
      <c r="E53" s="1">
        <f>VALUE(4102)</f>
        <v>4102</v>
      </c>
      <c r="F53" s="1">
        <f>VALUE(4835)</f>
        <v>4835</v>
      </c>
      <c r="G53" s="1">
        <f>VALUE(5623)</f>
        <v>5623</v>
      </c>
      <c r="H53" s="1">
        <f>VALUE(6939)</f>
        <v>6939</v>
      </c>
      <c r="I53" s="1">
        <f>VALUE(8236)</f>
        <v>8236</v>
      </c>
      <c r="J53" t="s">
        <v>12</v>
      </c>
    </row>
    <row r="54" spans="1:10" x14ac:dyDescent="0.25">
      <c r="A54" t="s">
        <v>32</v>
      </c>
      <c r="B54" t="s">
        <v>29</v>
      </c>
      <c r="C54" s="1">
        <f>VALUE(1765.78)</f>
        <v>1765.78</v>
      </c>
      <c r="D54" s="1">
        <f>VALUE(1236.04)</f>
        <v>1236.04</v>
      </c>
      <c r="E54" s="2">
        <f>VALUE(3200)</f>
        <v>3200</v>
      </c>
      <c r="F54" s="2">
        <f>VALUE(4186)</f>
        <v>4186</v>
      </c>
      <c r="G54" s="1">
        <f>VALUE(5200)</f>
        <v>5200</v>
      </c>
      <c r="H54" s="1">
        <f>VALUE(6410)</f>
        <v>6410</v>
      </c>
      <c r="I54" s="2">
        <f>VALUE(7936)</f>
        <v>7936</v>
      </c>
      <c r="J54" t="s">
        <v>14</v>
      </c>
    </row>
    <row r="55" spans="1:10" x14ac:dyDescent="0.25">
      <c r="A55" t="s">
        <v>32</v>
      </c>
      <c r="B55" t="s">
        <v>30</v>
      </c>
      <c r="C55" s="1">
        <f>VALUE(2500.86)</f>
        <v>2500.86</v>
      </c>
      <c r="D55" s="1">
        <f>VALUE(1969.46)</f>
        <v>1969.46</v>
      </c>
      <c r="E55" s="1">
        <f>VALUE(3106)</f>
        <v>3106</v>
      </c>
      <c r="F55" s="1">
        <f>VALUE(3564)</f>
        <v>3564</v>
      </c>
      <c r="G55" s="1">
        <f>VALUE(4500)</f>
        <v>4500</v>
      </c>
      <c r="H55" s="1">
        <f>VALUE(5893)</f>
        <v>5893</v>
      </c>
      <c r="I55" s="1">
        <f>VALUE(8098)</f>
        <v>8098</v>
      </c>
      <c r="J55" t="s">
        <v>12</v>
      </c>
    </row>
    <row r="56" spans="1:10" x14ac:dyDescent="0.25">
      <c r="A56" t="s">
        <v>33</v>
      </c>
      <c r="B56" t="s">
        <v>11</v>
      </c>
      <c r="C56" s="1">
        <f>VALUE(126486.48)</f>
        <v>126486.48</v>
      </c>
      <c r="D56" s="1">
        <f>VALUE(108829.85)</f>
        <v>108829.85</v>
      </c>
      <c r="E56" s="1">
        <f>VALUE(3446)</f>
        <v>3446</v>
      </c>
      <c r="F56" s="1">
        <f>VALUE(4135)</f>
        <v>4135</v>
      </c>
      <c r="G56" s="1">
        <f>VALUE(5262)</f>
        <v>5262</v>
      </c>
      <c r="H56" s="1">
        <f>VALUE(6665)</f>
        <v>6665</v>
      </c>
      <c r="I56" s="1">
        <f>VALUE(9085)</f>
        <v>9085</v>
      </c>
      <c r="J56" t="s">
        <v>12</v>
      </c>
    </row>
    <row r="57" spans="1:10" x14ac:dyDescent="0.25">
      <c r="A57" t="s">
        <v>33</v>
      </c>
      <c r="B57" t="s">
        <v>13</v>
      </c>
      <c r="C57" s="1">
        <f>VALUE(398.43)</f>
        <v>398.43</v>
      </c>
      <c r="D57" s="1">
        <f>VALUE(400.29)</f>
        <v>400.29</v>
      </c>
      <c r="E57" s="1">
        <f>VALUE(5047)</f>
        <v>5047</v>
      </c>
      <c r="F57" s="1">
        <f>VALUE(5454)</f>
        <v>5454</v>
      </c>
      <c r="G57" s="1">
        <f>VALUE(5871)</f>
        <v>5871</v>
      </c>
      <c r="H57" s="1">
        <f>VALUE(6226)</f>
        <v>6226</v>
      </c>
      <c r="I57" s="2">
        <f>VALUE(8252)</f>
        <v>8252</v>
      </c>
      <c r="J57" t="s">
        <v>14</v>
      </c>
    </row>
    <row r="58" spans="1:10" x14ac:dyDescent="0.25">
      <c r="A58" t="s">
        <v>33</v>
      </c>
      <c r="B58" t="s">
        <v>15</v>
      </c>
      <c r="C58" s="1">
        <f>VALUE(23040.18)</f>
        <v>23040.18</v>
      </c>
      <c r="D58" s="1">
        <f>VALUE(21948.16)</f>
        <v>21948.16</v>
      </c>
      <c r="E58" s="1">
        <f>VALUE(3226)</f>
        <v>3226</v>
      </c>
      <c r="F58" s="1">
        <f>VALUE(3627)</f>
        <v>3627</v>
      </c>
      <c r="G58" s="1">
        <f>VALUE(4586)</f>
        <v>4586</v>
      </c>
      <c r="H58" s="1">
        <f>VALUE(5795)</f>
        <v>5795</v>
      </c>
      <c r="I58" s="1">
        <f>VALUE(7737)</f>
        <v>7737</v>
      </c>
      <c r="J58" t="s">
        <v>12</v>
      </c>
    </row>
    <row r="59" spans="1:10" x14ac:dyDescent="0.25">
      <c r="A59" t="s">
        <v>33</v>
      </c>
      <c r="B59" t="s">
        <v>16</v>
      </c>
      <c r="C59" s="1">
        <f>VALUE(1035.11)</f>
        <v>1035.1099999999999</v>
      </c>
      <c r="D59" s="1">
        <f>VALUE(1046.78)</f>
        <v>1046.78</v>
      </c>
      <c r="E59" s="2">
        <f>VALUE(4859)</f>
        <v>4859</v>
      </c>
      <c r="F59" s="1">
        <f>VALUE(5775)</f>
        <v>5775</v>
      </c>
      <c r="G59" s="1">
        <f>VALUE(6673)</f>
        <v>6673</v>
      </c>
      <c r="H59" s="1">
        <f>VALUE(7775)</f>
        <v>7775</v>
      </c>
      <c r="I59" s="2">
        <f>VALUE(9912)</f>
        <v>9912</v>
      </c>
      <c r="J59" t="s">
        <v>14</v>
      </c>
    </row>
    <row r="60" spans="1:10" x14ac:dyDescent="0.25">
      <c r="A60" t="s">
        <v>33</v>
      </c>
      <c r="B60" t="s">
        <v>17</v>
      </c>
      <c r="C60" s="1">
        <f>VALUE(309.03)</f>
        <v>309.02999999999997</v>
      </c>
      <c r="D60" s="1">
        <f>VALUE(323.1)</f>
        <v>323.10000000000002</v>
      </c>
      <c r="E60" s="1">
        <f>VALUE(3321)</f>
        <v>3321</v>
      </c>
      <c r="F60" s="1">
        <f>VALUE(3722)</f>
        <v>3722</v>
      </c>
      <c r="G60" s="1">
        <f>VALUE(4184)</f>
        <v>4184</v>
      </c>
      <c r="H60" s="1">
        <f>VALUE(4708)</f>
        <v>4708</v>
      </c>
      <c r="I60" s="1">
        <f>VALUE(5333)</f>
        <v>5333</v>
      </c>
      <c r="J60" t="s">
        <v>12</v>
      </c>
    </row>
    <row r="61" spans="1:10" x14ac:dyDescent="0.25">
      <c r="A61" t="s">
        <v>33</v>
      </c>
      <c r="B61" t="s">
        <v>18</v>
      </c>
      <c r="C61" s="1">
        <f>VALUE(15280.4)</f>
        <v>15280.4</v>
      </c>
      <c r="D61" s="1">
        <f>VALUE(14414.94)</f>
        <v>14414.94</v>
      </c>
      <c r="E61" s="1">
        <f>VALUE(4552)</f>
        <v>4552</v>
      </c>
      <c r="F61" s="1">
        <f>VALUE(5175)</f>
        <v>5175</v>
      </c>
      <c r="G61" s="1">
        <f>VALUE(5827)</f>
        <v>5827</v>
      </c>
      <c r="H61" s="1">
        <f>VALUE(6499)</f>
        <v>6499</v>
      </c>
      <c r="I61" s="2">
        <f>VALUE(7629)</f>
        <v>7629</v>
      </c>
      <c r="J61" t="s">
        <v>14</v>
      </c>
    </row>
    <row r="62" spans="1:10" x14ac:dyDescent="0.25">
      <c r="A62" t="s">
        <v>33</v>
      </c>
      <c r="B62" t="s">
        <v>19</v>
      </c>
      <c r="C62" s="1">
        <f>VALUE(22621.65)</f>
        <v>22621.65</v>
      </c>
      <c r="D62" s="1">
        <f>VALUE(19626.76)</f>
        <v>19626.759999999998</v>
      </c>
      <c r="E62" s="1">
        <f>VALUE(3514)</f>
        <v>3514</v>
      </c>
      <c r="F62" s="1">
        <f>VALUE(4141)</f>
        <v>4141</v>
      </c>
      <c r="G62" s="1">
        <f>VALUE(5011)</f>
        <v>5011</v>
      </c>
      <c r="H62" s="1">
        <f>VALUE(6521)</f>
        <v>6521</v>
      </c>
      <c r="I62" s="2">
        <f>VALUE(9675)</f>
        <v>9675</v>
      </c>
      <c r="J62" t="s">
        <v>14</v>
      </c>
    </row>
    <row r="63" spans="1:10" x14ac:dyDescent="0.25">
      <c r="A63" t="s">
        <v>33</v>
      </c>
      <c r="B63" t="s">
        <v>20</v>
      </c>
      <c r="C63" s="1">
        <f>VALUE(3938.51)</f>
        <v>3938.51</v>
      </c>
      <c r="D63" s="1">
        <f>VALUE(3759.69)</f>
        <v>3759.69</v>
      </c>
      <c r="E63" s="1">
        <f>VALUE(3391)</f>
        <v>3391</v>
      </c>
      <c r="F63" s="1">
        <f>VALUE(3810)</f>
        <v>3810</v>
      </c>
      <c r="G63" s="1">
        <f>VALUE(5035)</f>
        <v>5035</v>
      </c>
      <c r="H63" s="1">
        <f>VALUE(6204)</f>
        <v>6204</v>
      </c>
      <c r="I63" s="1">
        <f>VALUE(7423)</f>
        <v>7423</v>
      </c>
      <c r="J63" t="s">
        <v>12</v>
      </c>
    </row>
    <row r="64" spans="1:10" x14ac:dyDescent="0.25">
      <c r="A64" t="s">
        <v>33</v>
      </c>
      <c r="B64" t="s">
        <v>21</v>
      </c>
      <c r="C64" s="1">
        <f>VALUE(9468.16)</f>
        <v>9468.16</v>
      </c>
      <c r="D64" s="1">
        <f>VALUE(7695.03)</f>
        <v>7695.03</v>
      </c>
      <c r="E64" s="1">
        <f>VALUE(3446)</f>
        <v>3446</v>
      </c>
      <c r="F64" s="1">
        <f>VALUE(3659)</f>
        <v>3659</v>
      </c>
      <c r="G64" s="1">
        <f>VALUE(4110)</f>
        <v>4110</v>
      </c>
      <c r="H64" s="1">
        <f>VALUE(4766)</f>
        <v>4766</v>
      </c>
      <c r="I64" s="1">
        <f>VALUE(5974)</f>
        <v>5974</v>
      </c>
      <c r="J64" t="s">
        <v>12</v>
      </c>
    </row>
    <row r="65" spans="1:10" x14ac:dyDescent="0.25">
      <c r="A65" t="s">
        <v>33</v>
      </c>
      <c r="B65" t="s">
        <v>22</v>
      </c>
      <c r="C65" s="1">
        <f>VALUE(3684.28)</f>
        <v>3684.28</v>
      </c>
      <c r="D65" s="1">
        <f>VALUE(3324.67)</f>
        <v>3324.67</v>
      </c>
      <c r="E65" s="1">
        <f>VALUE(3412)</f>
        <v>3412</v>
      </c>
      <c r="F65" s="1">
        <f>VALUE(4092)</f>
        <v>4092</v>
      </c>
      <c r="G65" s="1">
        <f>VALUE(5503)</f>
        <v>5503</v>
      </c>
      <c r="H65" s="1">
        <f>VALUE(7340)</f>
        <v>7340</v>
      </c>
      <c r="I65" s="1">
        <f>VALUE(9831)</f>
        <v>9831</v>
      </c>
      <c r="J65" t="s">
        <v>12</v>
      </c>
    </row>
    <row r="66" spans="1:10" x14ac:dyDescent="0.25">
      <c r="A66" t="s">
        <v>33</v>
      </c>
      <c r="B66" t="s">
        <v>23</v>
      </c>
      <c r="C66" s="1">
        <f>VALUE(6825.69)</f>
        <v>6825.69</v>
      </c>
      <c r="D66" s="1">
        <f>VALUE(6503.5)</f>
        <v>6503.5</v>
      </c>
      <c r="E66" s="1">
        <f>VALUE(4867)</f>
        <v>4867</v>
      </c>
      <c r="F66" s="1">
        <f>VALUE(5960)</f>
        <v>5960</v>
      </c>
      <c r="G66" s="1">
        <f>VALUE(7934)</f>
        <v>7934</v>
      </c>
      <c r="H66" s="1">
        <f>VALUE(11642)</f>
        <v>11642</v>
      </c>
      <c r="I66" s="1">
        <f>VALUE(17551)</f>
        <v>17551</v>
      </c>
      <c r="J66" t="s">
        <v>12</v>
      </c>
    </row>
    <row r="67" spans="1:10" x14ac:dyDescent="0.25">
      <c r="A67" t="s">
        <v>33</v>
      </c>
      <c r="B67" t="s">
        <v>24</v>
      </c>
      <c r="C67" s="1">
        <f>VALUE(1074.59)</f>
        <v>1074.5899999999999</v>
      </c>
      <c r="D67" s="1">
        <f>VALUE(862.14)</f>
        <v>862.14</v>
      </c>
      <c r="E67" s="2">
        <f>VALUE(3122)</f>
        <v>3122</v>
      </c>
      <c r="F67" s="1">
        <f>VALUE(4203)</f>
        <v>4203</v>
      </c>
      <c r="G67" s="1">
        <f>VALUE(5276)</f>
        <v>5276</v>
      </c>
      <c r="H67" s="1">
        <f>VALUE(6996)</f>
        <v>6996</v>
      </c>
      <c r="I67" s="2">
        <f>VALUE(9907)</f>
        <v>9907</v>
      </c>
      <c r="J67" t="s">
        <v>14</v>
      </c>
    </row>
    <row r="68" spans="1:10" x14ac:dyDescent="0.25">
      <c r="A68" t="s">
        <v>33</v>
      </c>
      <c r="B68" t="s">
        <v>25</v>
      </c>
      <c r="C68" s="1">
        <f>VALUE(10968.57)</f>
        <v>10968.57</v>
      </c>
      <c r="D68" s="1">
        <f>VALUE(9400.26)</f>
        <v>9400.26</v>
      </c>
      <c r="E68" s="1">
        <f>VALUE(3884)</f>
        <v>3884</v>
      </c>
      <c r="F68" s="1">
        <f>VALUE(4874)</f>
        <v>4874</v>
      </c>
      <c r="G68" s="1">
        <f>VALUE(6174)</f>
        <v>6174</v>
      </c>
      <c r="H68" s="1">
        <f>VALUE(7869)</f>
        <v>7869</v>
      </c>
      <c r="I68" s="2">
        <f>VALUE(12214)</f>
        <v>12214</v>
      </c>
      <c r="J68" t="s">
        <v>14</v>
      </c>
    </row>
    <row r="69" spans="1:10" x14ac:dyDescent="0.25">
      <c r="A69" t="s">
        <v>33</v>
      </c>
      <c r="B69" t="s">
        <v>26</v>
      </c>
      <c r="C69" s="1">
        <f>VALUE(8248.28)</f>
        <v>8248.2800000000007</v>
      </c>
      <c r="D69" s="1">
        <f>VALUE(5793.41)</f>
        <v>5793.41</v>
      </c>
      <c r="E69" s="1">
        <f>VALUE(3072)</f>
        <v>3072</v>
      </c>
      <c r="F69" s="1">
        <f>VALUE(3428)</f>
        <v>3428</v>
      </c>
      <c r="G69" s="2">
        <f>VALUE(4224)</f>
        <v>4224</v>
      </c>
      <c r="H69" s="2">
        <f>VALUE(5419)</f>
        <v>5419</v>
      </c>
      <c r="I69" s="1">
        <f>VALUE(6498)</f>
        <v>6498</v>
      </c>
      <c r="J69" t="s">
        <v>14</v>
      </c>
    </row>
    <row r="70" spans="1:10" x14ac:dyDescent="0.25">
      <c r="A70" t="s">
        <v>33</v>
      </c>
      <c r="B70" t="s">
        <v>27</v>
      </c>
      <c r="C70" s="1">
        <f>VALUE(2773.1)</f>
        <v>2773.1</v>
      </c>
      <c r="D70" s="1">
        <f>VALUE(1741.7)</f>
        <v>1741.7</v>
      </c>
      <c r="E70" s="2">
        <f>VALUE(3889)</f>
        <v>3889</v>
      </c>
      <c r="F70" s="1">
        <f>VALUE(4762)</f>
        <v>4762</v>
      </c>
      <c r="G70" s="1">
        <f>VALUE(6207)</f>
        <v>6207</v>
      </c>
      <c r="H70" s="1">
        <f>VALUE(8038)</f>
        <v>8038</v>
      </c>
      <c r="I70" s="2">
        <f>VALUE(11129)</f>
        <v>11129</v>
      </c>
      <c r="J70" t="s">
        <v>14</v>
      </c>
    </row>
    <row r="71" spans="1:10" x14ac:dyDescent="0.25">
      <c r="A71" t="s">
        <v>33</v>
      </c>
      <c r="B71" t="s">
        <v>28</v>
      </c>
      <c r="C71" s="1">
        <f>VALUE(12318.88)</f>
        <v>12318.88</v>
      </c>
      <c r="D71" s="1">
        <f>VALUE(8618.05)</f>
        <v>8618.0499999999993</v>
      </c>
      <c r="E71" s="1">
        <f>VALUE(4178)</f>
        <v>4178</v>
      </c>
      <c r="F71" s="1">
        <f>VALUE(4857)</f>
        <v>4857</v>
      </c>
      <c r="G71" s="1">
        <f>VALUE(5774)</f>
        <v>5774</v>
      </c>
      <c r="H71" s="1">
        <f>VALUE(7246)</f>
        <v>7246</v>
      </c>
      <c r="I71" s="1">
        <f>VALUE(8633)</f>
        <v>8633</v>
      </c>
      <c r="J71" t="s">
        <v>12</v>
      </c>
    </row>
    <row r="72" spans="1:10" x14ac:dyDescent="0.25">
      <c r="A72" t="s">
        <v>33</v>
      </c>
      <c r="B72" t="s">
        <v>29</v>
      </c>
      <c r="C72" s="1">
        <f>VALUE(2243.69)</f>
        <v>2243.69</v>
      </c>
      <c r="D72" s="1">
        <f>VALUE(1679.07)</f>
        <v>1679.07</v>
      </c>
      <c r="E72" s="2">
        <f>VALUE(3044)</f>
        <v>3044</v>
      </c>
      <c r="F72" s="2">
        <f>VALUE(3901)</f>
        <v>3901</v>
      </c>
      <c r="G72" s="1">
        <f>VALUE(4759)</f>
        <v>4759</v>
      </c>
      <c r="H72" s="1">
        <f>VALUE(5922)</f>
        <v>5922</v>
      </c>
      <c r="I72" s="1">
        <f>VALUE(7327)</f>
        <v>7327</v>
      </c>
      <c r="J72" t="s">
        <v>14</v>
      </c>
    </row>
    <row r="73" spans="1:10" x14ac:dyDescent="0.25">
      <c r="A73" t="s">
        <v>33</v>
      </c>
      <c r="B73" t="s">
        <v>30</v>
      </c>
      <c r="C73" s="1">
        <f>VALUE(2257.93)</f>
        <v>2257.9299999999998</v>
      </c>
      <c r="D73" s="1">
        <f>VALUE(1692.3)</f>
        <v>1692.3</v>
      </c>
      <c r="E73" s="1">
        <f>VALUE(2824)</f>
        <v>2824</v>
      </c>
      <c r="F73" s="1">
        <f>VALUE(3486)</f>
        <v>3486</v>
      </c>
      <c r="G73" s="2">
        <f>VALUE(4549)</f>
        <v>4549</v>
      </c>
      <c r="H73" s="1">
        <f>VALUE(6025)</f>
        <v>6025</v>
      </c>
      <c r="I73" s="2">
        <f>VALUE(8047)</f>
        <v>8047</v>
      </c>
      <c r="J73" t="s">
        <v>14</v>
      </c>
    </row>
    <row r="74" spans="1:10" x14ac:dyDescent="0.25">
      <c r="A74" t="s">
        <v>34</v>
      </c>
      <c r="B74" t="s">
        <v>11</v>
      </c>
      <c r="C74" s="1">
        <f>VALUE(127664.95)</f>
        <v>127664.95</v>
      </c>
      <c r="D74" s="1">
        <f>VALUE(112985.81)</f>
        <v>112985.81</v>
      </c>
      <c r="E74" s="1">
        <f>VALUE(3415)</f>
        <v>3415</v>
      </c>
      <c r="F74" s="1">
        <f>VALUE(4068)</f>
        <v>4068</v>
      </c>
      <c r="G74" s="1">
        <f>VALUE(5163)</f>
        <v>5163</v>
      </c>
      <c r="H74" s="1">
        <f>VALUE(6666)</f>
        <v>6666</v>
      </c>
      <c r="I74" s="1">
        <f>VALUE(9217)</f>
        <v>9217</v>
      </c>
      <c r="J74" t="s">
        <v>12</v>
      </c>
    </row>
    <row r="75" spans="1:10" x14ac:dyDescent="0.25">
      <c r="A75" t="s">
        <v>34</v>
      </c>
      <c r="B75" t="s">
        <v>13</v>
      </c>
      <c r="C75" s="1" t="str">
        <f t="shared" ref="C75:I75" si="0">"X"</f>
        <v>X</v>
      </c>
      <c r="D75" s="1" t="str">
        <f t="shared" si="0"/>
        <v>X</v>
      </c>
      <c r="E75" s="1" t="str">
        <f t="shared" si="0"/>
        <v>X</v>
      </c>
      <c r="F75" s="1" t="str">
        <f t="shared" si="0"/>
        <v>X</v>
      </c>
      <c r="G75" s="1" t="str">
        <f t="shared" si="0"/>
        <v>X</v>
      </c>
      <c r="H75" s="1" t="str">
        <f t="shared" si="0"/>
        <v>X</v>
      </c>
      <c r="I75" s="1" t="str">
        <f t="shared" si="0"/>
        <v>X</v>
      </c>
      <c r="J75" t="s">
        <v>35</v>
      </c>
    </row>
    <row r="76" spans="1:10" x14ac:dyDescent="0.25">
      <c r="A76" t="s">
        <v>34</v>
      </c>
      <c r="B76" t="s">
        <v>15</v>
      </c>
      <c r="C76" s="1">
        <f>VALUE(25120.1)</f>
        <v>25120.1</v>
      </c>
      <c r="D76" s="1">
        <f>VALUE(24690.58)</f>
        <v>24690.58</v>
      </c>
      <c r="E76" s="1">
        <f>VALUE(3078)</f>
        <v>3078</v>
      </c>
      <c r="F76" s="1">
        <f>VALUE(3558)</f>
        <v>3558</v>
      </c>
      <c r="G76" s="1">
        <f>VALUE(4494)</f>
        <v>4494</v>
      </c>
      <c r="H76" s="1">
        <f>VALUE(5788)</f>
        <v>5788</v>
      </c>
      <c r="I76" s="1">
        <f>VALUE(7809)</f>
        <v>7809</v>
      </c>
      <c r="J76" t="s">
        <v>12</v>
      </c>
    </row>
    <row r="77" spans="1:10" x14ac:dyDescent="0.25">
      <c r="A77" t="s">
        <v>34</v>
      </c>
      <c r="B77" t="s">
        <v>16</v>
      </c>
      <c r="C77" s="1">
        <f>VALUE(695.84)</f>
        <v>695.84</v>
      </c>
      <c r="D77" s="1">
        <f>VALUE(704.35)</f>
        <v>704.35</v>
      </c>
      <c r="E77" s="1">
        <f>VALUE(5577)</f>
        <v>5577</v>
      </c>
      <c r="F77" s="1">
        <f>VALUE(6382)</f>
        <v>6382</v>
      </c>
      <c r="G77" s="1">
        <f>VALUE(7182)</f>
        <v>7182</v>
      </c>
      <c r="H77" s="1">
        <f>VALUE(7970)</f>
        <v>7970</v>
      </c>
      <c r="I77" s="1">
        <f>VALUE(10683)</f>
        <v>10683</v>
      </c>
      <c r="J77" t="s">
        <v>12</v>
      </c>
    </row>
    <row r="78" spans="1:10" x14ac:dyDescent="0.25">
      <c r="A78" t="s">
        <v>34</v>
      </c>
      <c r="B78" t="s">
        <v>17</v>
      </c>
      <c r="C78" s="1">
        <f>VALUE(448.85)</f>
        <v>448.85</v>
      </c>
      <c r="D78" s="1">
        <f>VALUE(448.88)</f>
        <v>448.88</v>
      </c>
      <c r="E78" s="1">
        <f>VALUE(3435)</f>
        <v>3435</v>
      </c>
      <c r="F78" s="1">
        <f>VALUE(3805)</f>
        <v>3805</v>
      </c>
      <c r="G78" s="1">
        <f>VALUE(4235)</f>
        <v>4235</v>
      </c>
      <c r="H78" s="1">
        <f>VALUE(4965)</f>
        <v>4965</v>
      </c>
      <c r="I78" s="2">
        <f>VALUE(6104)</f>
        <v>6104</v>
      </c>
      <c r="J78" t="s">
        <v>14</v>
      </c>
    </row>
    <row r="79" spans="1:10" x14ac:dyDescent="0.25">
      <c r="A79" t="s">
        <v>34</v>
      </c>
      <c r="B79" t="s">
        <v>18</v>
      </c>
      <c r="C79" s="1">
        <f>VALUE(11587.73)</f>
        <v>11587.73</v>
      </c>
      <c r="D79" s="1">
        <f>VALUE(11080.69)</f>
        <v>11080.69</v>
      </c>
      <c r="E79" s="1">
        <f>VALUE(4563)</f>
        <v>4563</v>
      </c>
      <c r="F79" s="1">
        <f>VALUE(5271)</f>
        <v>5271</v>
      </c>
      <c r="G79" s="1">
        <f>VALUE(5896)</f>
        <v>5896</v>
      </c>
      <c r="H79" s="1">
        <f>VALUE(6870)</f>
        <v>6870</v>
      </c>
      <c r="I79" s="1">
        <f>VALUE(7982)</f>
        <v>7982</v>
      </c>
      <c r="J79" t="s">
        <v>12</v>
      </c>
    </row>
    <row r="80" spans="1:10" x14ac:dyDescent="0.25">
      <c r="A80" t="s">
        <v>34</v>
      </c>
      <c r="B80" t="s">
        <v>19</v>
      </c>
      <c r="C80" s="1">
        <f>VALUE(21046.88)</f>
        <v>21046.880000000001</v>
      </c>
      <c r="D80" s="1">
        <f>VALUE(18629.11)</f>
        <v>18629.11</v>
      </c>
      <c r="E80" s="1">
        <f>VALUE(3609)</f>
        <v>3609</v>
      </c>
      <c r="F80" s="1">
        <f>VALUE(4171)</f>
        <v>4171</v>
      </c>
      <c r="G80" s="1">
        <f>VALUE(4958)</f>
        <v>4958</v>
      </c>
      <c r="H80" s="1">
        <f>VALUE(6389)</f>
        <v>6389</v>
      </c>
      <c r="I80" s="1">
        <f>VALUE(9581)</f>
        <v>9581</v>
      </c>
      <c r="J80" t="s">
        <v>12</v>
      </c>
    </row>
    <row r="81" spans="1:10" x14ac:dyDescent="0.25">
      <c r="A81" t="s">
        <v>34</v>
      </c>
      <c r="B81" t="s">
        <v>20</v>
      </c>
      <c r="C81" s="1">
        <f>VALUE(4153.2)</f>
        <v>4153.2</v>
      </c>
      <c r="D81" s="1">
        <f>VALUE(4064.84)</f>
        <v>4064.84</v>
      </c>
      <c r="E81" s="1">
        <f>VALUE(3341)</f>
        <v>3341</v>
      </c>
      <c r="F81" s="1">
        <f>VALUE(3804)</f>
        <v>3804</v>
      </c>
      <c r="G81" s="2">
        <f>VALUE(4940)</f>
        <v>4940</v>
      </c>
      <c r="H81" s="1">
        <f>VALUE(6269)</f>
        <v>6269</v>
      </c>
      <c r="I81" s="1">
        <f>VALUE(7325)</f>
        <v>7325</v>
      </c>
      <c r="J81" t="s">
        <v>14</v>
      </c>
    </row>
    <row r="82" spans="1:10" x14ac:dyDescent="0.25">
      <c r="A82" t="s">
        <v>34</v>
      </c>
      <c r="B82" t="s">
        <v>21</v>
      </c>
      <c r="C82" s="1">
        <f>VALUE(9014.32)</f>
        <v>9014.32</v>
      </c>
      <c r="D82" s="1">
        <f>VALUE(7942.65)</f>
        <v>7942.65</v>
      </c>
      <c r="E82" s="1">
        <f>VALUE(3420)</f>
        <v>3420</v>
      </c>
      <c r="F82" s="1">
        <f>VALUE(3569)</f>
        <v>3569</v>
      </c>
      <c r="G82" s="1">
        <f>VALUE(4024)</f>
        <v>4024</v>
      </c>
      <c r="H82" s="1">
        <f>VALUE(4582)</f>
        <v>4582</v>
      </c>
      <c r="I82" s="1">
        <f>VALUE(5477)</f>
        <v>5477</v>
      </c>
      <c r="J82" t="s">
        <v>12</v>
      </c>
    </row>
    <row r="83" spans="1:10" x14ac:dyDescent="0.25">
      <c r="A83" t="s">
        <v>34</v>
      </c>
      <c r="B83" t="s">
        <v>22</v>
      </c>
      <c r="C83" s="1">
        <f>VALUE(4930.58)</f>
        <v>4930.58</v>
      </c>
      <c r="D83" s="1">
        <f>VALUE(4703.32)</f>
        <v>4703.32</v>
      </c>
      <c r="E83" s="1">
        <f>VALUE(3608)</f>
        <v>3608</v>
      </c>
      <c r="F83" s="1">
        <f>VALUE(4412)</f>
        <v>4412</v>
      </c>
      <c r="G83" s="2">
        <f>VALUE(6300)</f>
        <v>6300</v>
      </c>
      <c r="H83" s="1">
        <f>VALUE(8842)</f>
        <v>8842</v>
      </c>
      <c r="I83" s="1">
        <f>VALUE(11697)</f>
        <v>11697</v>
      </c>
      <c r="J83" t="s">
        <v>14</v>
      </c>
    </row>
    <row r="84" spans="1:10" x14ac:dyDescent="0.25">
      <c r="A84" t="s">
        <v>34</v>
      </c>
      <c r="B84" t="s">
        <v>23</v>
      </c>
      <c r="C84" s="1">
        <f>VALUE(6865.46)</f>
        <v>6865.46</v>
      </c>
      <c r="D84" s="1">
        <f>VALUE(6475.02)</f>
        <v>6475.02</v>
      </c>
      <c r="E84" s="1">
        <f>VALUE(4540)</f>
        <v>4540</v>
      </c>
      <c r="F84" s="1">
        <f>VALUE(5619)</f>
        <v>5619</v>
      </c>
      <c r="G84" s="1">
        <f>VALUE(7540)</f>
        <v>7540</v>
      </c>
      <c r="H84" s="1">
        <f>VALUE(11468)</f>
        <v>11468</v>
      </c>
      <c r="I84" s="1">
        <f>VALUE(18037)</f>
        <v>18037</v>
      </c>
      <c r="J84" t="s">
        <v>12</v>
      </c>
    </row>
    <row r="85" spans="1:10" x14ac:dyDescent="0.25">
      <c r="A85" t="s">
        <v>34</v>
      </c>
      <c r="B85" t="s">
        <v>24</v>
      </c>
      <c r="C85" s="1">
        <f>VALUE(1119.16)</f>
        <v>1119.1600000000001</v>
      </c>
      <c r="D85" s="1">
        <f>VALUE(877.3)</f>
        <v>877.3</v>
      </c>
      <c r="E85" s="1">
        <f>VALUE(3192)</f>
        <v>3192</v>
      </c>
      <c r="F85" s="1">
        <f>VALUE(4225)</f>
        <v>4225</v>
      </c>
      <c r="G85" s="1">
        <f>VALUE(5325)</f>
        <v>5325</v>
      </c>
      <c r="H85" s="1">
        <f>VALUE(6780)</f>
        <v>6780</v>
      </c>
      <c r="I85" s="2">
        <f>VALUE(9317)</f>
        <v>9317</v>
      </c>
      <c r="J85" t="s">
        <v>14</v>
      </c>
    </row>
    <row r="86" spans="1:10" x14ac:dyDescent="0.25">
      <c r="A86" t="s">
        <v>34</v>
      </c>
      <c r="B86" t="s">
        <v>25</v>
      </c>
      <c r="C86" s="1">
        <f>VALUE(12310.58)</f>
        <v>12310.58</v>
      </c>
      <c r="D86" s="1">
        <f>VALUE(10773.68)</f>
        <v>10773.68</v>
      </c>
      <c r="E86" s="1">
        <f>VALUE(3619)</f>
        <v>3619</v>
      </c>
      <c r="F86" s="1">
        <f>VALUE(4512)</f>
        <v>4512</v>
      </c>
      <c r="G86" s="1">
        <f>VALUE(5871)</f>
        <v>5871</v>
      </c>
      <c r="H86" s="1">
        <f>VALUE(8043)</f>
        <v>8043</v>
      </c>
      <c r="I86" s="1">
        <f>VALUE(12203)</f>
        <v>12203</v>
      </c>
      <c r="J86" t="s">
        <v>12</v>
      </c>
    </row>
    <row r="87" spans="1:10" x14ac:dyDescent="0.25">
      <c r="A87" t="s">
        <v>34</v>
      </c>
      <c r="B87" t="s">
        <v>26</v>
      </c>
      <c r="C87" s="1">
        <f>VALUE(9798.08)</f>
        <v>9798.08</v>
      </c>
      <c r="D87" s="1">
        <f>VALUE(8152.94)</f>
        <v>8152.94</v>
      </c>
      <c r="E87" s="1">
        <f>VALUE(3302)</f>
        <v>3302</v>
      </c>
      <c r="F87" s="1">
        <f>VALUE(3770)</f>
        <v>3770</v>
      </c>
      <c r="G87" s="1">
        <f>VALUE(4778)</f>
        <v>4778</v>
      </c>
      <c r="H87" s="1">
        <f>VALUE(5669)</f>
        <v>5669</v>
      </c>
      <c r="I87" s="2">
        <f>VALUE(6906)</f>
        <v>6906</v>
      </c>
      <c r="J87" t="s">
        <v>14</v>
      </c>
    </row>
    <row r="88" spans="1:10" x14ac:dyDescent="0.25">
      <c r="A88" t="s">
        <v>34</v>
      </c>
      <c r="B88" t="s">
        <v>27</v>
      </c>
      <c r="C88" s="1">
        <f>VALUE(2075.15)</f>
        <v>2075.15</v>
      </c>
      <c r="D88" s="1">
        <f>VALUE(1294.3)</f>
        <v>1294.3</v>
      </c>
      <c r="E88" s="2">
        <f>VALUE(3416)</f>
        <v>3416</v>
      </c>
      <c r="F88" s="1">
        <f>VALUE(4235)</f>
        <v>4235</v>
      </c>
      <c r="G88" s="1">
        <f>VALUE(5783)</f>
        <v>5783</v>
      </c>
      <c r="H88" s="1">
        <f>VALUE(7642)</f>
        <v>7642</v>
      </c>
      <c r="I88" s="2">
        <f>VALUE(10443)</f>
        <v>10443</v>
      </c>
      <c r="J88" t="s">
        <v>14</v>
      </c>
    </row>
    <row r="89" spans="1:10" x14ac:dyDescent="0.25">
      <c r="A89" t="s">
        <v>34</v>
      </c>
      <c r="B89" t="s">
        <v>28</v>
      </c>
      <c r="C89" s="1">
        <f>VALUE(13200.97)</f>
        <v>13200.97</v>
      </c>
      <c r="D89" s="1">
        <f>VALUE(9244.46)</f>
        <v>9244.4599999999991</v>
      </c>
      <c r="E89" s="1">
        <f>VALUE(3937)</f>
        <v>3937</v>
      </c>
      <c r="F89" s="1">
        <f>VALUE(4701)</f>
        <v>4701</v>
      </c>
      <c r="G89" s="1">
        <f>VALUE(5638)</f>
        <v>5638</v>
      </c>
      <c r="H89" s="1">
        <f>VALUE(7106)</f>
        <v>7106</v>
      </c>
      <c r="I89" s="1">
        <f>VALUE(8604)</f>
        <v>8604</v>
      </c>
      <c r="J89" t="s">
        <v>12</v>
      </c>
    </row>
    <row r="90" spans="1:10" x14ac:dyDescent="0.25">
      <c r="A90" t="s">
        <v>34</v>
      </c>
      <c r="B90" t="s">
        <v>29</v>
      </c>
      <c r="C90" s="1">
        <f>VALUE(2460.86)</f>
        <v>2460.86</v>
      </c>
      <c r="D90" s="1">
        <f>VALUE(1810.92)</f>
        <v>1810.92</v>
      </c>
      <c r="E90" s="2">
        <f>VALUE(2957)</f>
        <v>2957</v>
      </c>
      <c r="F90" s="2">
        <f>VALUE(3665)</f>
        <v>3665</v>
      </c>
      <c r="G90" s="1">
        <f>VALUE(4826)</f>
        <v>4826</v>
      </c>
      <c r="H90" s="1">
        <f>VALUE(6164)</f>
        <v>6164</v>
      </c>
      <c r="I90" s="2">
        <f>VALUE(8862)</f>
        <v>8862</v>
      </c>
      <c r="J90" t="s">
        <v>14</v>
      </c>
    </row>
    <row r="91" spans="1:10" x14ac:dyDescent="0.25">
      <c r="A91" t="s">
        <v>34</v>
      </c>
      <c r="B91" t="s">
        <v>30</v>
      </c>
      <c r="C91" s="1">
        <f>VALUE(2736.39)</f>
        <v>2736.39</v>
      </c>
      <c r="D91" s="1">
        <f>VALUE(1990.29)</f>
        <v>1990.29</v>
      </c>
      <c r="E91" s="1">
        <f>VALUE(3184)</f>
        <v>3184</v>
      </c>
      <c r="F91" s="1">
        <f>VALUE(3721)</f>
        <v>3721</v>
      </c>
      <c r="G91" s="1">
        <f>VALUE(4815)</f>
        <v>4815</v>
      </c>
      <c r="H91" s="1">
        <f>VALUE(6250)</f>
        <v>6250</v>
      </c>
      <c r="I91" s="1">
        <f>VALUE(8378)</f>
        <v>8378</v>
      </c>
      <c r="J91" t="s">
        <v>12</v>
      </c>
    </row>
    <row r="92" spans="1:10" x14ac:dyDescent="0.25">
      <c r="A92" t="s">
        <v>36</v>
      </c>
      <c r="B92" t="s">
        <v>11</v>
      </c>
      <c r="C92" s="1">
        <f>VALUE(133209.4)</f>
        <v>133209.4</v>
      </c>
      <c r="D92" s="1">
        <f>VALUE(116171.09)</f>
        <v>116171.09</v>
      </c>
      <c r="E92" s="1">
        <f>VALUE(3449)</f>
        <v>3449</v>
      </c>
      <c r="F92" s="1">
        <f>VALUE(4099)</f>
        <v>4099</v>
      </c>
      <c r="G92" s="1">
        <f>VALUE(5203)</f>
        <v>5203</v>
      </c>
      <c r="H92" s="1">
        <f>VALUE(6736)</f>
        <v>6736</v>
      </c>
      <c r="I92" s="1">
        <f>VALUE(9640)</f>
        <v>9640</v>
      </c>
      <c r="J92" t="s">
        <v>12</v>
      </c>
    </row>
    <row r="93" spans="1:10" x14ac:dyDescent="0.25">
      <c r="A93" t="s">
        <v>36</v>
      </c>
      <c r="B93" t="s">
        <v>13</v>
      </c>
      <c r="C93" s="1">
        <f>VALUE(160.57)</f>
        <v>160.57</v>
      </c>
      <c r="D93" s="1">
        <f>VALUE(152.46)</f>
        <v>152.46</v>
      </c>
      <c r="E93" s="1">
        <f>VALUE(4871)</f>
        <v>4871</v>
      </c>
      <c r="F93" s="1">
        <f>VALUE(5429)</f>
        <v>5429</v>
      </c>
      <c r="G93" s="1">
        <f>VALUE(6131)</f>
        <v>6131</v>
      </c>
      <c r="H93" s="1">
        <f>VALUE(6669)</f>
        <v>6669</v>
      </c>
      <c r="I93" s="1">
        <f>VALUE(7961)</f>
        <v>7961</v>
      </c>
      <c r="J93" t="s">
        <v>12</v>
      </c>
    </row>
    <row r="94" spans="1:10" x14ac:dyDescent="0.25">
      <c r="A94" t="s">
        <v>36</v>
      </c>
      <c r="B94" t="s">
        <v>15</v>
      </c>
      <c r="C94" s="1">
        <f>VALUE(24347.72)</f>
        <v>24347.72</v>
      </c>
      <c r="D94" s="1">
        <f>VALUE(23216.42)</f>
        <v>23216.42</v>
      </c>
      <c r="E94" s="1">
        <f>VALUE(3125)</f>
        <v>3125</v>
      </c>
      <c r="F94" s="1">
        <f>VALUE(3528)</f>
        <v>3528</v>
      </c>
      <c r="G94" s="1">
        <f>VALUE(4417)</f>
        <v>4417</v>
      </c>
      <c r="H94" s="1">
        <f>VALUE(5768)</f>
        <v>5768</v>
      </c>
      <c r="I94" s="1">
        <f>VALUE(8092)</f>
        <v>8092</v>
      </c>
      <c r="J94" t="s">
        <v>12</v>
      </c>
    </row>
    <row r="95" spans="1:10" x14ac:dyDescent="0.25">
      <c r="A95" t="s">
        <v>36</v>
      </c>
      <c r="B95" t="s">
        <v>16</v>
      </c>
      <c r="C95" s="1">
        <f>VALUE(1024.23)</f>
        <v>1024.23</v>
      </c>
      <c r="D95" s="1">
        <f>VALUE(1037.08)</f>
        <v>1037.08</v>
      </c>
      <c r="E95" s="1">
        <f>VALUE(5130)</f>
        <v>5130</v>
      </c>
      <c r="F95" s="1">
        <f>VALUE(5848)</f>
        <v>5848</v>
      </c>
      <c r="G95" s="1">
        <f>VALUE(6926)</f>
        <v>6926</v>
      </c>
      <c r="H95" s="1">
        <f>VALUE(8285)</f>
        <v>8285</v>
      </c>
      <c r="I95" s="2">
        <f>VALUE(11081)</f>
        <v>11081</v>
      </c>
      <c r="J95" t="s">
        <v>14</v>
      </c>
    </row>
    <row r="96" spans="1:10" x14ac:dyDescent="0.25">
      <c r="A96" t="s">
        <v>36</v>
      </c>
      <c r="B96" t="s">
        <v>17</v>
      </c>
      <c r="C96" s="1">
        <f>VALUE(494.15)</f>
        <v>494.15</v>
      </c>
      <c r="D96" s="2">
        <f>VALUE(515.9)</f>
        <v>515.9</v>
      </c>
      <c r="E96" s="2">
        <f>VALUE(3321)</f>
        <v>3321</v>
      </c>
      <c r="F96" s="1">
        <f>VALUE(3810)</f>
        <v>3810</v>
      </c>
      <c r="G96" s="1">
        <f>VALUE(4172)</f>
        <v>4172</v>
      </c>
      <c r="H96" s="1">
        <f>VALUE(4761)</f>
        <v>4761</v>
      </c>
      <c r="I96" s="2">
        <f>VALUE(6286)</f>
        <v>6286</v>
      </c>
      <c r="J96" t="s">
        <v>14</v>
      </c>
    </row>
    <row r="97" spans="1:10" x14ac:dyDescent="0.25">
      <c r="A97" t="s">
        <v>36</v>
      </c>
      <c r="B97" t="s">
        <v>18</v>
      </c>
      <c r="C97" s="1">
        <f>VALUE(13291.98)</f>
        <v>13291.98</v>
      </c>
      <c r="D97" s="1">
        <f>VALUE(12873.4)</f>
        <v>12873.4</v>
      </c>
      <c r="E97" s="1">
        <f>VALUE(4644)</f>
        <v>4644</v>
      </c>
      <c r="F97" s="1">
        <f>VALUE(5141)</f>
        <v>5141</v>
      </c>
      <c r="G97" s="1">
        <f>VALUE(5813)</f>
        <v>5813</v>
      </c>
      <c r="H97" s="1">
        <f>VALUE(6634)</f>
        <v>6634</v>
      </c>
      <c r="I97" s="1">
        <f>VALUE(8000)</f>
        <v>8000</v>
      </c>
      <c r="J97" t="s">
        <v>12</v>
      </c>
    </row>
    <row r="98" spans="1:10" x14ac:dyDescent="0.25">
      <c r="A98" t="s">
        <v>36</v>
      </c>
      <c r="B98" t="s">
        <v>19</v>
      </c>
      <c r="C98" s="1">
        <f>VALUE(21508.62)</f>
        <v>21508.62</v>
      </c>
      <c r="D98" s="1">
        <f>VALUE(19370.49)</f>
        <v>19370.490000000002</v>
      </c>
      <c r="E98" s="1">
        <f>VALUE(3581)</f>
        <v>3581</v>
      </c>
      <c r="F98" s="1">
        <f>VALUE(4241)</f>
        <v>4241</v>
      </c>
      <c r="G98" s="1">
        <f>VALUE(5000)</f>
        <v>5000</v>
      </c>
      <c r="H98" s="1">
        <f>VALUE(6362)</f>
        <v>6362</v>
      </c>
      <c r="I98" s="1">
        <f>VALUE(9617)</f>
        <v>9617</v>
      </c>
      <c r="J98" t="s">
        <v>12</v>
      </c>
    </row>
    <row r="99" spans="1:10" x14ac:dyDescent="0.25">
      <c r="A99" t="s">
        <v>36</v>
      </c>
      <c r="B99" t="s">
        <v>20</v>
      </c>
      <c r="C99" s="1">
        <f>VALUE(5214.7)</f>
        <v>5214.7</v>
      </c>
      <c r="D99" s="1">
        <f>VALUE(5075.14)</f>
        <v>5075.1400000000003</v>
      </c>
      <c r="E99" s="1">
        <f>VALUE(3335)</f>
        <v>3335</v>
      </c>
      <c r="F99" s="1">
        <f>VALUE(3746)</f>
        <v>3746</v>
      </c>
      <c r="G99" s="1">
        <f>VALUE(4778)</f>
        <v>4778</v>
      </c>
      <c r="H99" s="1">
        <f>VALUE(6091)</f>
        <v>6091</v>
      </c>
      <c r="I99" s="1">
        <f>VALUE(7230)</f>
        <v>7230</v>
      </c>
      <c r="J99" t="s">
        <v>12</v>
      </c>
    </row>
    <row r="100" spans="1:10" x14ac:dyDescent="0.25">
      <c r="A100" t="s">
        <v>36</v>
      </c>
      <c r="B100" t="s">
        <v>21</v>
      </c>
      <c r="C100" s="1">
        <f>VALUE(8647.79)</f>
        <v>8647.7900000000009</v>
      </c>
      <c r="D100" s="1">
        <f>VALUE(7280.19)</f>
        <v>7280.19</v>
      </c>
      <c r="E100" s="1">
        <f>VALUE(3333)</f>
        <v>3333</v>
      </c>
      <c r="F100" s="1">
        <f>VALUE(3580)</f>
        <v>3580</v>
      </c>
      <c r="G100" s="1">
        <f>VALUE(3947)</f>
        <v>3947</v>
      </c>
      <c r="H100" s="1">
        <f>VALUE(4444)</f>
        <v>4444</v>
      </c>
      <c r="I100" s="1">
        <f>VALUE(5317)</f>
        <v>5317</v>
      </c>
      <c r="J100" t="s">
        <v>12</v>
      </c>
    </row>
    <row r="101" spans="1:10" x14ac:dyDescent="0.25">
      <c r="A101" t="s">
        <v>36</v>
      </c>
      <c r="B101" t="s">
        <v>22</v>
      </c>
      <c r="C101" s="1">
        <f>VALUE(5603.65)</f>
        <v>5603.65</v>
      </c>
      <c r="D101" s="1">
        <f>VALUE(5198.31)</f>
        <v>5198.3100000000004</v>
      </c>
      <c r="E101" s="1">
        <f>VALUE(3647)</f>
        <v>3647</v>
      </c>
      <c r="F101" s="1">
        <f>VALUE(4430)</f>
        <v>4430</v>
      </c>
      <c r="G101" s="1">
        <f>VALUE(6065)</f>
        <v>6065</v>
      </c>
      <c r="H101" s="1">
        <f>VALUE(8302)</f>
        <v>8302</v>
      </c>
      <c r="I101" s="1">
        <f>VALUE(11389)</f>
        <v>11389</v>
      </c>
      <c r="J101" t="s">
        <v>12</v>
      </c>
    </row>
    <row r="102" spans="1:10" x14ac:dyDescent="0.25">
      <c r="A102" t="s">
        <v>36</v>
      </c>
      <c r="B102" t="s">
        <v>23</v>
      </c>
      <c r="C102" s="1">
        <f>VALUE(7321.3)</f>
        <v>7321.3</v>
      </c>
      <c r="D102" s="1">
        <f>VALUE(6858.08)</f>
        <v>6858.08</v>
      </c>
      <c r="E102" s="1">
        <f>VALUE(4511)</f>
        <v>4511</v>
      </c>
      <c r="F102" s="1">
        <f>VALUE(5950)</f>
        <v>5950</v>
      </c>
      <c r="G102" s="1">
        <f>VALUE(8370)</f>
        <v>8370</v>
      </c>
      <c r="H102" s="1">
        <f>VALUE(12433)</f>
        <v>12433</v>
      </c>
      <c r="I102" s="1">
        <f>VALUE(18698)</f>
        <v>18698</v>
      </c>
      <c r="J102" t="s">
        <v>12</v>
      </c>
    </row>
    <row r="103" spans="1:10" x14ac:dyDescent="0.25">
      <c r="A103" t="s">
        <v>36</v>
      </c>
      <c r="B103" t="s">
        <v>24</v>
      </c>
      <c r="C103" s="1">
        <f>VALUE(1177.21)</f>
        <v>1177.21</v>
      </c>
      <c r="D103" s="1">
        <f>VALUE(883.48)</f>
        <v>883.48</v>
      </c>
      <c r="E103" s="1">
        <f>VALUE(3553)</f>
        <v>3553</v>
      </c>
      <c r="F103" s="1">
        <f>VALUE(4333)</f>
        <v>4333</v>
      </c>
      <c r="G103" s="1">
        <f>VALUE(5467)</f>
        <v>5467</v>
      </c>
      <c r="H103" s="1">
        <f>VALUE(7221)</f>
        <v>7221</v>
      </c>
      <c r="I103" s="1">
        <f>VALUE(10762)</f>
        <v>10762</v>
      </c>
      <c r="J103" t="s">
        <v>12</v>
      </c>
    </row>
    <row r="104" spans="1:10" x14ac:dyDescent="0.25">
      <c r="A104" t="s">
        <v>36</v>
      </c>
      <c r="B104" t="s">
        <v>25</v>
      </c>
      <c r="C104" s="1">
        <f>VALUE(12304.37)</f>
        <v>12304.37</v>
      </c>
      <c r="D104" s="1">
        <f>VALUE(10816.96)</f>
        <v>10816.96</v>
      </c>
      <c r="E104" s="1">
        <f>VALUE(3671)</f>
        <v>3671</v>
      </c>
      <c r="F104" s="1">
        <f>VALUE(4536)</f>
        <v>4536</v>
      </c>
      <c r="G104" s="1">
        <f>VALUE(5968)</f>
        <v>5968</v>
      </c>
      <c r="H104" s="1">
        <f>VALUE(8300)</f>
        <v>8300</v>
      </c>
      <c r="I104" s="1">
        <f>VALUE(12294)</f>
        <v>12294</v>
      </c>
      <c r="J104" t="s">
        <v>12</v>
      </c>
    </row>
    <row r="105" spans="1:10" x14ac:dyDescent="0.25">
      <c r="A105" t="s">
        <v>36</v>
      </c>
      <c r="B105" t="s">
        <v>26</v>
      </c>
      <c r="C105" s="1">
        <f>VALUE(9763.59)</f>
        <v>9763.59</v>
      </c>
      <c r="D105" s="1">
        <f>VALUE(7288.6)</f>
        <v>7288.6</v>
      </c>
      <c r="E105" s="1">
        <f>VALUE(3414)</f>
        <v>3414</v>
      </c>
      <c r="F105" s="1">
        <f>VALUE(3715)</f>
        <v>3715</v>
      </c>
      <c r="G105" s="1">
        <f>VALUE(4588)</f>
        <v>4588</v>
      </c>
      <c r="H105" s="1">
        <f>VALUE(5754)</f>
        <v>5754</v>
      </c>
      <c r="I105" s="1">
        <f>VALUE(6675)</f>
        <v>6675</v>
      </c>
      <c r="J105" t="s">
        <v>12</v>
      </c>
    </row>
    <row r="106" spans="1:10" x14ac:dyDescent="0.25">
      <c r="A106" t="s">
        <v>36</v>
      </c>
      <c r="B106" t="s">
        <v>27</v>
      </c>
      <c r="C106" s="1">
        <f>VALUE(2149.5)</f>
        <v>2149.5</v>
      </c>
      <c r="D106" s="1">
        <f>VALUE(1432.07)</f>
        <v>1432.07</v>
      </c>
      <c r="E106" s="1">
        <f>VALUE(3470)</f>
        <v>3470</v>
      </c>
      <c r="F106" s="1">
        <f>VALUE(4000)</f>
        <v>4000</v>
      </c>
      <c r="G106" s="1">
        <f>VALUE(5415)</f>
        <v>5415</v>
      </c>
      <c r="H106" s="1">
        <f>VALUE(7016)</f>
        <v>7016</v>
      </c>
      <c r="I106" s="1">
        <f>VALUE(9007)</f>
        <v>9007</v>
      </c>
      <c r="J106" t="s">
        <v>12</v>
      </c>
    </row>
    <row r="107" spans="1:10" x14ac:dyDescent="0.25">
      <c r="A107" t="s">
        <v>36</v>
      </c>
      <c r="B107" t="s">
        <v>28</v>
      </c>
      <c r="C107" s="1">
        <f>VALUE(14721.48)</f>
        <v>14721.48</v>
      </c>
      <c r="D107" s="1">
        <f>VALUE(10465.11)</f>
        <v>10465.11</v>
      </c>
      <c r="E107" s="1">
        <f>VALUE(4266)</f>
        <v>4266</v>
      </c>
      <c r="F107" s="1">
        <f>VALUE(4939)</f>
        <v>4939</v>
      </c>
      <c r="G107" s="1">
        <f>VALUE(5755)</f>
        <v>5755</v>
      </c>
      <c r="H107" s="1">
        <f>VALUE(7202)</f>
        <v>7202</v>
      </c>
      <c r="I107" s="1">
        <f>VALUE(8583)</f>
        <v>8583</v>
      </c>
      <c r="J107" t="s">
        <v>12</v>
      </c>
    </row>
    <row r="108" spans="1:10" x14ac:dyDescent="0.25">
      <c r="A108" t="s">
        <v>36</v>
      </c>
      <c r="B108" t="s">
        <v>29</v>
      </c>
      <c r="C108" s="1">
        <f>VALUE(2330.76)</f>
        <v>2330.7600000000002</v>
      </c>
      <c r="D108" s="1">
        <f>VALUE(1522.8)</f>
        <v>1522.8</v>
      </c>
      <c r="E108" s="1">
        <f>VALUE(3100)</f>
        <v>3100</v>
      </c>
      <c r="F108" s="1">
        <f>VALUE(3919)</f>
        <v>3919</v>
      </c>
      <c r="G108" s="1">
        <f>VALUE(4874)</f>
        <v>4874</v>
      </c>
      <c r="H108" s="1">
        <f>VALUE(6496)</f>
        <v>6496</v>
      </c>
      <c r="I108" s="1">
        <f>VALUE(9175)</f>
        <v>9175</v>
      </c>
      <c r="J108" t="s">
        <v>12</v>
      </c>
    </row>
    <row r="109" spans="1:10" x14ac:dyDescent="0.25">
      <c r="A109" t="s">
        <v>36</v>
      </c>
      <c r="B109" t="s">
        <v>30</v>
      </c>
      <c r="C109" s="1">
        <f>VALUE(3147.78)</f>
        <v>3147.78</v>
      </c>
      <c r="D109" s="1">
        <f>VALUE(2184.6)</f>
        <v>2184.6</v>
      </c>
      <c r="E109" s="1">
        <f>VALUE(3150)</f>
        <v>3150</v>
      </c>
      <c r="F109" s="1">
        <f>VALUE(3619)</f>
        <v>3619</v>
      </c>
      <c r="G109" s="1">
        <f>VALUE(4761)</f>
        <v>4761</v>
      </c>
      <c r="H109" s="1">
        <f>VALUE(6595)</f>
        <v>6595</v>
      </c>
      <c r="I109" s="1">
        <f>VALUE(8926)</f>
        <v>8926</v>
      </c>
      <c r="J109" t="s">
        <v>12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2" sqref="A32"/>
    </sheetView>
  </sheetViews>
  <sheetFormatPr defaultRowHeight="15" x14ac:dyDescent="0.25"/>
  <cols>
    <col min="1" max="1" width="18" customWidth="1"/>
    <col min="2" max="2" width="100.7109375" customWidth="1"/>
  </cols>
  <sheetData>
    <row r="1" spans="1:2" x14ac:dyDescent="0.25">
      <c r="A1" t="s">
        <v>37</v>
      </c>
      <c r="B1" t="s">
        <v>38</v>
      </c>
    </row>
    <row r="2" spans="1:2" x14ac:dyDescent="0.25">
      <c r="A2" t="s">
        <v>0</v>
      </c>
      <c r="B2" t="s">
        <v>39</v>
      </c>
    </row>
    <row r="3" spans="1:2" x14ac:dyDescent="0.25">
      <c r="A3" t="s">
        <v>1</v>
      </c>
      <c r="B3" t="s">
        <v>40</v>
      </c>
    </row>
    <row r="6" spans="1:2" x14ac:dyDescent="0.25">
      <c r="A6" t="s">
        <v>41</v>
      </c>
    </row>
    <row r="7" spans="1:2" x14ac:dyDescent="0.25">
      <c r="A7" t="s">
        <v>42</v>
      </c>
      <c r="B7" t="s">
        <v>43</v>
      </c>
    </row>
    <row r="8" spans="1:2" x14ac:dyDescent="0.25">
      <c r="A8" t="s">
        <v>2</v>
      </c>
      <c r="B8" t="s">
        <v>44</v>
      </c>
    </row>
    <row r="9" spans="1:2" x14ac:dyDescent="0.25">
      <c r="A9" t="s">
        <v>3</v>
      </c>
      <c r="B9" t="s">
        <v>45</v>
      </c>
    </row>
    <row r="10" spans="1:2" x14ac:dyDescent="0.25">
      <c r="A10" t="s">
        <v>4</v>
      </c>
      <c r="B10" t="s">
        <v>46</v>
      </c>
    </row>
    <row r="11" spans="1:2" x14ac:dyDescent="0.25">
      <c r="A11" t="s">
        <v>5</v>
      </c>
      <c r="B11" t="s">
        <v>47</v>
      </c>
    </row>
    <row r="12" spans="1:2" x14ac:dyDescent="0.25">
      <c r="A12" t="s">
        <v>6</v>
      </c>
      <c r="B12" t="s">
        <v>48</v>
      </c>
    </row>
    <row r="13" spans="1:2" x14ac:dyDescent="0.25">
      <c r="A13" t="s">
        <v>7</v>
      </c>
      <c r="B13" t="s">
        <v>49</v>
      </c>
    </row>
    <row r="14" spans="1:2" x14ac:dyDescent="0.25">
      <c r="A14" t="s">
        <v>8</v>
      </c>
      <c r="B14" t="s">
        <v>50</v>
      </c>
    </row>
    <row r="17" spans="1:2" x14ac:dyDescent="0.25">
      <c r="A17" t="s">
        <v>51</v>
      </c>
    </row>
    <row r="18" spans="1:2" x14ac:dyDescent="0.25">
      <c r="A18" t="s">
        <v>52</v>
      </c>
      <c r="B18" t="s">
        <v>53</v>
      </c>
    </row>
    <row r="19" spans="1:2" x14ac:dyDescent="0.25">
      <c r="A19" t="s">
        <v>12</v>
      </c>
      <c r="B19" t="s">
        <v>54</v>
      </c>
    </row>
    <row r="20" spans="1:2" x14ac:dyDescent="0.25">
      <c r="A20" t="s">
        <v>55</v>
      </c>
      <c r="B20" t="s">
        <v>56</v>
      </c>
    </row>
    <row r="21" spans="1:2" x14ac:dyDescent="0.25">
      <c r="A21" t="s">
        <v>35</v>
      </c>
      <c r="B21" t="s">
        <v>57</v>
      </c>
    </row>
    <row r="22" spans="1:2" x14ac:dyDescent="0.25">
      <c r="A22" t="s">
        <v>58</v>
      </c>
      <c r="B22" t="s">
        <v>59</v>
      </c>
    </row>
    <row r="23" spans="1:2" x14ac:dyDescent="0.25">
      <c r="A23" t="s">
        <v>14</v>
      </c>
      <c r="B23" t="s">
        <v>60</v>
      </c>
    </row>
    <row r="26" spans="1:2" x14ac:dyDescent="0.25">
      <c r="A26" s="3" t="str">
        <f>HYPERLINK("http://www4.ti.ch/fileadmin/DFE/DR-USTAT/Prodotti/Definizioni/segni_sigle_simboli.pdf","Segni, simboli, abbreviazioni, sigle e concetti statistici usati nei prodotti dell'Ustat")</f>
        <v>Segni, simboli, abbreviazioni, sigle e concetti statistici usati nei prodotti dell'Ustat</v>
      </c>
    </row>
    <row r="29" spans="1:2" x14ac:dyDescent="0.25">
      <c r="A29" t="s">
        <v>61</v>
      </c>
    </row>
    <row r="30" spans="1:2" x14ac:dyDescent="0.25">
      <c r="A30" s="3" t="str">
        <f>HYPERLINK("https://www3.ti.ch/DFE/DR/USTAT/index.php?fuseaction=definizioni.glossario&amp;tema=35&amp;id=191","Salario mensile lordo standardizzato")</f>
        <v>Salario mensile lordo standardizzato</v>
      </c>
    </row>
    <row r="31" spans="1:2" x14ac:dyDescent="0.25">
      <c r="A31" s="3" t="str">
        <f>HYPERLINK("https://www3.ti.ch/DFE/DR/USTAT/index.php?fuseaction=definizioni.glossario&amp;tema=35&amp;id=1881","Addetti ai sensi della RSS")</f>
        <v>Addetti ai sensi della RSS</v>
      </c>
    </row>
    <row r="32" spans="1:2" x14ac:dyDescent="0.25">
      <c r="A32" s="3" t="str">
        <f>HYPERLINK("https://www3.ti.ch/DFE/DR/USTAT/index.php?fuseaction=definizioni.glossario&amp;tema=35&amp;id=1882","Addetti ETP ai sensi della RSS")</f>
        <v>Addetti ETP ai sensi della RSS</v>
      </c>
    </row>
  </sheetData>
  <pageMargins left="0.7" right="0.7" top="0.75" bottom="0.75" header="0.3" footer="0.3"/>
  <pageSetup paperSize="9" orientation="portrait" horizontalDpi="300" verticalDpi="300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27" sqref="G27"/>
    </sheetView>
  </sheetViews>
  <sheetFormatPr defaultRowHeight="15" x14ac:dyDescent="0.25"/>
  <sheetData>
    <row r="1" spans="1:1" x14ac:dyDescent="0.25">
      <c r="A1" t="s">
        <v>62</v>
      </c>
    </row>
    <row r="3" spans="1:1" x14ac:dyDescent="0.25">
      <c r="A3" s="3" t="str">
        <f>HYPERLINK("https://www3.ti.ch/DFE/DR/USTAT/index.php?fuseaction=definizioni.fonti&amp;tema=35&amp;id=64&amp;proID=178","Fonte: Rilevazione della struttura dei salari (RSS), Ufficio federale di statistica, Neuchâtel")</f>
        <v>Fonte: Rilevazione della struttura dei salari (RSS), Ufficio federale di statistica, Neuchâtel</v>
      </c>
    </row>
    <row r="4" spans="1:1" x14ac:dyDescent="0.25">
      <c r="A4" t="s">
        <v>63</v>
      </c>
    </row>
    <row r="6" spans="1:1" x14ac:dyDescent="0.25">
      <c r="A6" t="s">
        <v>64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</vt:lpstr>
      <vt:lpstr>Definizioni</vt:lpstr>
      <vt:lpstr>Informazioni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Ustat</dc:creator>
  <cp:lastModifiedBy>Giancone Vincenza / T147696</cp:lastModifiedBy>
  <dcterms:created xsi:type="dcterms:W3CDTF">2022-06-13T16:24:15Z</dcterms:created>
  <dcterms:modified xsi:type="dcterms:W3CDTF">2022-06-14T07:24:48Z</dcterms:modified>
</cp:coreProperties>
</file>