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ust011\BD\BD_MELA\Salari\RSS\3 - Pubblicazioni\articolo 2022\2022_descrittivo\cubi da pubblicare\revisione_cubi\Cubi_completi_def_e_meta_da_pubblicare\"/>
    </mc:Choice>
  </mc:AlternateContent>
  <bookViews>
    <workbookView xWindow="0" yWindow="0" windowWidth="13125" windowHeight="6105" activeTab="1"/>
  </bookViews>
  <sheets>
    <sheet name="Tabella" sheetId="1" r:id="rId1"/>
    <sheet name="Definizioni" sheetId="2" r:id="rId2"/>
    <sheet name="Informazioni" sheetId="3" r:id="rId3"/>
  </sheets>
  <calcPr calcId="162913"/>
</workbook>
</file>

<file path=xl/calcChain.xml><?xml version="1.0" encoding="utf-8"?>
<calcChain xmlns="http://schemas.openxmlformats.org/spreadsheetml/2006/main">
  <c r="A3" i="3" l="1"/>
  <c r="A36" i="2"/>
  <c r="A35" i="2"/>
  <c r="A34" i="2"/>
  <c r="A30" i="2"/>
  <c r="J91" i="1"/>
  <c r="I91" i="1"/>
  <c r="H91" i="1"/>
  <c r="G91" i="1"/>
  <c r="F91" i="1"/>
  <c r="E91" i="1"/>
  <c r="D91" i="1"/>
  <c r="C91" i="1"/>
  <c r="J90" i="1"/>
  <c r="I90" i="1"/>
  <c r="H90" i="1"/>
  <c r="G90" i="1"/>
  <c r="F90" i="1"/>
  <c r="E90" i="1"/>
  <c r="D90" i="1"/>
  <c r="C90" i="1"/>
  <c r="J89" i="1"/>
  <c r="I89" i="1"/>
  <c r="H89" i="1"/>
  <c r="G89" i="1"/>
  <c r="F89" i="1"/>
  <c r="E89" i="1"/>
  <c r="D89" i="1"/>
  <c r="C89" i="1"/>
  <c r="J88" i="1"/>
  <c r="I88" i="1"/>
  <c r="H88" i="1"/>
  <c r="G88" i="1"/>
  <c r="F88" i="1"/>
  <c r="E88" i="1"/>
  <c r="D88" i="1"/>
  <c r="C88" i="1"/>
  <c r="J87" i="1"/>
  <c r="I87" i="1"/>
  <c r="H87" i="1"/>
  <c r="G87" i="1"/>
  <c r="F87" i="1"/>
  <c r="E87" i="1"/>
  <c r="D87" i="1"/>
  <c r="C87" i="1"/>
  <c r="J86" i="1"/>
  <c r="I86" i="1"/>
  <c r="H86" i="1"/>
  <c r="G86" i="1"/>
  <c r="F86" i="1"/>
  <c r="E86" i="1"/>
  <c r="D86" i="1"/>
  <c r="C86" i="1"/>
  <c r="J85" i="1"/>
  <c r="I85" i="1"/>
  <c r="H85" i="1"/>
  <c r="G85" i="1"/>
  <c r="F85" i="1"/>
  <c r="E85" i="1"/>
  <c r="D85" i="1"/>
  <c r="C85" i="1"/>
  <c r="J84" i="1"/>
  <c r="I84" i="1"/>
  <c r="H84" i="1"/>
  <c r="G84" i="1"/>
  <c r="F84" i="1"/>
  <c r="E84" i="1"/>
  <c r="D84" i="1"/>
  <c r="C84" i="1"/>
  <c r="J83" i="1"/>
  <c r="I83" i="1"/>
  <c r="H83" i="1"/>
  <c r="G83" i="1"/>
  <c r="F83" i="1"/>
  <c r="E83" i="1"/>
  <c r="D83" i="1"/>
  <c r="C83" i="1"/>
  <c r="J82" i="1"/>
  <c r="I82" i="1"/>
  <c r="H82" i="1"/>
  <c r="G82" i="1"/>
  <c r="F82" i="1"/>
  <c r="E82" i="1"/>
  <c r="D82" i="1"/>
  <c r="C82" i="1"/>
  <c r="J81" i="1"/>
  <c r="I81" i="1"/>
  <c r="H81" i="1"/>
  <c r="G81" i="1"/>
  <c r="F81" i="1"/>
  <c r="E81" i="1"/>
  <c r="D81" i="1"/>
  <c r="C81" i="1"/>
  <c r="J80" i="1"/>
  <c r="I80" i="1"/>
  <c r="H80" i="1"/>
  <c r="G80" i="1"/>
  <c r="F80" i="1"/>
  <c r="E80" i="1"/>
  <c r="D80" i="1"/>
  <c r="C80" i="1"/>
  <c r="J79" i="1"/>
  <c r="I79" i="1"/>
  <c r="H79" i="1"/>
  <c r="G79" i="1"/>
  <c r="F79" i="1"/>
  <c r="E79" i="1"/>
  <c r="D79" i="1"/>
  <c r="C79" i="1"/>
  <c r="J78" i="1"/>
  <c r="I78" i="1"/>
  <c r="H78" i="1"/>
  <c r="G78" i="1"/>
  <c r="F78" i="1"/>
  <c r="E78" i="1"/>
  <c r="D78" i="1"/>
  <c r="C78" i="1"/>
  <c r="J77" i="1"/>
  <c r="I77" i="1"/>
  <c r="H77" i="1"/>
  <c r="G77" i="1"/>
  <c r="F77" i="1"/>
  <c r="E77" i="1"/>
  <c r="D77" i="1"/>
  <c r="C77" i="1"/>
  <c r="J76" i="1"/>
  <c r="I76" i="1"/>
  <c r="H76" i="1"/>
  <c r="G76" i="1"/>
  <c r="F76" i="1"/>
  <c r="E76" i="1"/>
  <c r="D76" i="1"/>
  <c r="C76" i="1"/>
  <c r="J75" i="1"/>
  <c r="I75" i="1"/>
  <c r="H75" i="1"/>
  <c r="G75" i="1"/>
  <c r="F75" i="1"/>
  <c r="E75" i="1"/>
  <c r="D75" i="1"/>
  <c r="C75" i="1"/>
  <c r="J74" i="1"/>
  <c r="I74" i="1"/>
  <c r="H74" i="1"/>
  <c r="G74" i="1"/>
  <c r="F74" i="1"/>
  <c r="E74" i="1"/>
  <c r="D74" i="1"/>
  <c r="C74" i="1"/>
  <c r="J73" i="1"/>
  <c r="I73" i="1"/>
  <c r="H73" i="1"/>
  <c r="G73" i="1"/>
  <c r="F73" i="1"/>
  <c r="E73" i="1"/>
  <c r="D73" i="1"/>
  <c r="C73" i="1"/>
  <c r="J72" i="1"/>
  <c r="I72" i="1"/>
  <c r="H72" i="1"/>
  <c r="G72" i="1"/>
  <c r="F72" i="1"/>
  <c r="E72" i="1"/>
  <c r="D72" i="1"/>
  <c r="C72" i="1"/>
  <c r="J71" i="1"/>
  <c r="I71" i="1"/>
  <c r="H71" i="1"/>
  <c r="G71" i="1"/>
  <c r="F71" i="1"/>
  <c r="E71" i="1"/>
  <c r="D71" i="1"/>
  <c r="C71" i="1"/>
  <c r="J70" i="1"/>
  <c r="I70" i="1"/>
  <c r="H70" i="1"/>
  <c r="G70" i="1"/>
  <c r="F70" i="1"/>
  <c r="E70" i="1"/>
  <c r="D70" i="1"/>
  <c r="C70" i="1"/>
  <c r="J69" i="1"/>
  <c r="I69" i="1"/>
  <c r="H69" i="1"/>
  <c r="G69" i="1"/>
  <c r="F69" i="1"/>
  <c r="E69" i="1"/>
  <c r="D69" i="1"/>
  <c r="C69" i="1"/>
  <c r="J68" i="1"/>
  <c r="I68" i="1"/>
  <c r="H68" i="1"/>
  <c r="G68" i="1"/>
  <c r="F68" i="1"/>
  <c r="E68" i="1"/>
  <c r="D68" i="1"/>
  <c r="C68" i="1"/>
  <c r="J67" i="1"/>
  <c r="I67" i="1"/>
  <c r="H67" i="1"/>
  <c r="G67" i="1"/>
  <c r="F67" i="1"/>
  <c r="E67" i="1"/>
  <c r="D67" i="1"/>
  <c r="C67" i="1"/>
  <c r="J66" i="1"/>
  <c r="I66" i="1"/>
  <c r="H66" i="1"/>
  <c r="G66" i="1"/>
  <c r="F66" i="1"/>
  <c r="E66" i="1"/>
  <c r="D66" i="1"/>
  <c r="C66" i="1"/>
  <c r="J65" i="1"/>
  <c r="I65" i="1"/>
  <c r="H65" i="1"/>
  <c r="G65" i="1"/>
  <c r="F65" i="1"/>
  <c r="E65" i="1"/>
  <c r="D65" i="1"/>
  <c r="C65" i="1"/>
  <c r="J64" i="1"/>
  <c r="I64" i="1"/>
  <c r="H64" i="1"/>
  <c r="G64" i="1"/>
  <c r="F64" i="1"/>
  <c r="E64" i="1"/>
  <c r="D64" i="1"/>
  <c r="C64" i="1"/>
  <c r="J63" i="1"/>
  <c r="I63" i="1"/>
  <c r="H63" i="1"/>
  <c r="G63" i="1"/>
  <c r="F63" i="1"/>
  <c r="E63" i="1"/>
  <c r="D63" i="1"/>
  <c r="C63" i="1"/>
  <c r="J62" i="1"/>
  <c r="I62" i="1"/>
  <c r="H62" i="1"/>
  <c r="G62" i="1"/>
  <c r="F62" i="1"/>
  <c r="E62" i="1"/>
  <c r="D62" i="1"/>
  <c r="C62" i="1"/>
  <c r="J61" i="1"/>
  <c r="I61" i="1"/>
  <c r="H61" i="1"/>
  <c r="G61" i="1"/>
  <c r="F61" i="1"/>
  <c r="E61" i="1"/>
  <c r="D61" i="1"/>
  <c r="C61" i="1"/>
  <c r="J60" i="1"/>
  <c r="I60" i="1"/>
  <c r="H60" i="1"/>
  <c r="G60" i="1"/>
  <c r="F60" i="1"/>
  <c r="E60" i="1"/>
  <c r="D60" i="1"/>
  <c r="C60" i="1"/>
  <c r="J59" i="1"/>
  <c r="I59" i="1"/>
  <c r="H59" i="1"/>
  <c r="G59" i="1"/>
  <c r="F59" i="1"/>
  <c r="E59" i="1"/>
  <c r="D59" i="1"/>
  <c r="C59" i="1"/>
  <c r="J58" i="1"/>
  <c r="I58" i="1"/>
  <c r="H58" i="1"/>
  <c r="G58" i="1"/>
  <c r="F58" i="1"/>
  <c r="E58" i="1"/>
  <c r="D58" i="1"/>
  <c r="C58" i="1"/>
  <c r="J57" i="1"/>
  <c r="I57" i="1"/>
  <c r="H57" i="1"/>
  <c r="G57" i="1"/>
  <c r="F57" i="1"/>
  <c r="E57" i="1"/>
  <c r="D57" i="1"/>
  <c r="C57" i="1"/>
  <c r="J56" i="1"/>
  <c r="I56" i="1"/>
  <c r="H56" i="1"/>
  <c r="G56" i="1"/>
  <c r="F56" i="1"/>
  <c r="E56" i="1"/>
  <c r="D56" i="1"/>
  <c r="C56" i="1"/>
  <c r="J55" i="1"/>
  <c r="I55" i="1"/>
  <c r="H55" i="1"/>
  <c r="G55" i="1"/>
  <c r="F55" i="1"/>
  <c r="E55" i="1"/>
  <c r="D55" i="1"/>
  <c r="C55" i="1"/>
  <c r="J54" i="1"/>
  <c r="I54" i="1"/>
  <c r="H54" i="1"/>
  <c r="G54" i="1"/>
  <c r="F54" i="1"/>
  <c r="E54" i="1"/>
  <c r="D54" i="1"/>
  <c r="C54" i="1"/>
  <c r="J53" i="1"/>
  <c r="I53" i="1"/>
  <c r="H53" i="1"/>
  <c r="G53" i="1"/>
  <c r="F53" i="1"/>
  <c r="E53" i="1"/>
  <c r="D53" i="1"/>
  <c r="C53" i="1"/>
  <c r="J52" i="1"/>
  <c r="I52" i="1"/>
  <c r="H52" i="1"/>
  <c r="G52" i="1"/>
  <c r="F52" i="1"/>
  <c r="E52" i="1"/>
  <c r="D52" i="1"/>
  <c r="C52" i="1"/>
  <c r="J51" i="1"/>
  <c r="I51" i="1"/>
  <c r="H51" i="1"/>
  <c r="G51" i="1"/>
  <c r="F51" i="1"/>
  <c r="E51" i="1"/>
  <c r="D51" i="1"/>
  <c r="C51" i="1"/>
  <c r="J50" i="1"/>
  <c r="I50" i="1"/>
  <c r="H50" i="1"/>
  <c r="G50" i="1"/>
  <c r="F50" i="1"/>
  <c r="E50" i="1"/>
  <c r="D50" i="1"/>
  <c r="C50" i="1"/>
  <c r="J49" i="1"/>
  <c r="I49" i="1"/>
  <c r="H49" i="1"/>
  <c r="G49" i="1"/>
  <c r="F49" i="1"/>
  <c r="E49" i="1"/>
  <c r="D49" i="1"/>
  <c r="C49" i="1"/>
  <c r="J48" i="1"/>
  <c r="I48" i="1"/>
  <c r="H48" i="1"/>
  <c r="G48" i="1"/>
  <c r="F48" i="1"/>
  <c r="E48" i="1"/>
  <c r="D48" i="1"/>
  <c r="C48" i="1"/>
  <c r="J47" i="1"/>
  <c r="I47" i="1"/>
  <c r="H47" i="1"/>
  <c r="G47" i="1"/>
  <c r="F47" i="1"/>
  <c r="E47" i="1"/>
  <c r="D47" i="1"/>
  <c r="C47" i="1"/>
  <c r="J46" i="1"/>
  <c r="I46" i="1"/>
  <c r="H46" i="1"/>
  <c r="G46" i="1"/>
  <c r="F46" i="1"/>
  <c r="E46" i="1"/>
  <c r="D46" i="1"/>
  <c r="C46" i="1"/>
  <c r="J45" i="1"/>
  <c r="I45" i="1"/>
  <c r="H45" i="1"/>
  <c r="G45" i="1"/>
  <c r="F45" i="1"/>
  <c r="E45" i="1"/>
  <c r="D45" i="1"/>
  <c r="C45" i="1"/>
  <c r="J44" i="1"/>
  <c r="I44" i="1"/>
  <c r="H44" i="1"/>
  <c r="G44" i="1"/>
  <c r="F44" i="1"/>
  <c r="E44" i="1"/>
  <c r="D44" i="1"/>
  <c r="C44" i="1"/>
  <c r="J43" i="1"/>
  <c r="I43" i="1"/>
  <c r="H43" i="1"/>
  <c r="G43" i="1"/>
  <c r="F43" i="1"/>
  <c r="E43" i="1"/>
  <c r="D43" i="1"/>
  <c r="C43" i="1"/>
  <c r="J42" i="1"/>
  <c r="I42" i="1"/>
  <c r="H42" i="1"/>
  <c r="G42" i="1"/>
  <c r="F42" i="1"/>
  <c r="E42" i="1"/>
  <c r="D42" i="1"/>
  <c r="C42" i="1"/>
  <c r="J41" i="1"/>
  <c r="I41" i="1"/>
  <c r="H41" i="1"/>
  <c r="G41" i="1"/>
  <c r="F41" i="1"/>
  <c r="E41" i="1"/>
  <c r="D41" i="1"/>
  <c r="C41" i="1"/>
  <c r="J40" i="1"/>
  <c r="I40" i="1"/>
  <c r="H40" i="1"/>
  <c r="G40" i="1"/>
  <c r="F40" i="1"/>
  <c r="E40" i="1"/>
  <c r="D40" i="1"/>
  <c r="C40" i="1"/>
  <c r="J39" i="1"/>
  <c r="I39" i="1"/>
  <c r="H39" i="1"/>
  <c r="G39" i="1"/>
  <c r="F39" i="1"/>
  <c r="E39" i="1"/>
  <c r="D39" i="1"/>
  <c r="C39" i="1"/>
  <c r="J38" i="1"/>
  <c r="I38" i="1"/>
  <c r="H38" i="1"/>
  <c r="G38" i="1"/>
  <c r="F38" i="1"/>
  <c r="E38" i="1"/>
  <c r="D38" i="1"/>
  <c r="C38" i="1"/>
  <c r="J37" i="1"/>
  <c r="I37" i="1"/>
  <c r="H37" i="1"/>
  <c r="G37" i="1"/>
  <c r="F37" i="1"/>
  <c r="E37" i="1"/>
  <c r="D37" i="1"/>
  <c r="C37" i="1"/>
  <c r="J36" i="1"/>
  <c r="I36" i="1"/>
  <c r="H36" i="1"/>
  <c r="G36" i="1"/>
  <c r="F36" i="1"/>
  <c r="E36" i="1"/>
  <c r="D36" i="1"/>
  <c r="C36" i="1"/>
  <c r="J35" i="1"/>
  <c r="I35" i="1"/>
  <c r="H35" i="1"/>
  <c r="G35" i="1"/>
  <c r="F35" i="1"/>
  <c r="E35" i="1"/>
  <c r="D35" i="1"/>
  <c r="C35" i="1"/>
  <c r="J34" i="1"/>
  <c r="I34" i="1"/>
  <c r="H34" i="1"/>
  <c r="G34" i="1"/>
  <c r="F34" i="1"/>
  <c r="E34" i="1"/>
  <c r="D34" i="1"/>
  <c r="C34" i="1"/>
  <c r="J33" i="1"/>
  <c r="I33" i="1"/>
  <c r="H33" i="1"/>
  <c r="G33" i="1"/>
  <c r="F33" i="1"/>
  <c r="E33" i="1"/>
  <c r="D33" i="1"/>
  <c r="C33" i="1"/>
  <c r="J32" i="1"/>
  <c r="I32" i="1"/>
  <c r="H32" i="1"/>
  <c r="G32" i="1"/>
  <c r="F32" i="1"/>
  <c r="E32" i="1"/>
  <c r="D32" i="1"/>
  <c r="C32" i="1"/>
  <c r="J31" i="1"/>
  <c r="I31" i="1"/>
  <c r="H31" i="1"/>
  <c r="G31" i="1"/>
  <c r="F31" i="1"/>
  <c r="E31" i="1"/>
  <c r="D31" i="1"/>
  <c r="C31" i="1"/>
  <c r="J30" i="1"/>
  <c r="I30" i="1"/>
  <c r="H30" i="1"/>
  <c r="G30" i="1"/>
  <c r="F30" i="1"/>
  <c r="E30" i="1"/>
  <c r="D30" i="1"/>
  <c r="C30" i="1"/>
  <c r="J29" i="1"/>
  <c r="I29" i="1"/>
  <c r="H29" i="1"/>
  <c r="G29" i="1"/>
  <c r="F29" i="1"/>
  <c r="E29" i="1"/>
  <c r="D29" i="1"/>
  <c r="C29" i="1"/>
  <c r="J28" i="1"/>
  <c r="I28" i="1"/>
  <c r="H28" i="1"/>
  <c r="G28" i="1"/>
  <c r="F28" i="1"/>
  <c r="E28" i="1"/>
  <c r="D28" i="1"/>
  <c r="C28" i="1"/>
  <c r="J27" i="1"/>
  <c r="I27" i="1"/>
  <c r="H27" i="1"/>
  <c r="G27" i="1"/>
  <c r="F27" i="1"/>
  <c r="E27" i="1"/>
  <c r="D27" i="1"/>
  <c r="C27" i="1"/>
  <c r="J26" i="1"/>
  <c r="I26" i="1"/>
  <c r="H26" i="1"/>
  <c r="G26" i="1"/>
  <c r="F26" i="1"/>
  <c r="E26" i="1"/>
  <c r="D26" i="1"/>
  <c r="C26" i="1"/>
  <c r="J25" i="1"/>
  <c r="I25" i="1"/>
  <c r="H25" i="1"/>
  <c r="G25" i="1"/>
  <c r="F25" i="1"/>
  <c r="E25" i="1"/>
  <c r="D25" i="1"/>
  <c r="C25" i="1"/>
  <c r="J24" i="1"/>
  <c r="I24" i="1"/>
  <c r="H24" i="1"/>
  <c r="G24" i="1"/>
  <c r="F24" i="1"/>
  <c r="E24" i="1"/>
  <c r="D24" i="1"/>
  <c r="C24" i="1"/>
  <c r="J23" i="1"/>
  <c r="I23" i="1"/>
  <c r="H23" i="1"/>
  <c r="G23" i="1"/>
  <c r="F23" i="1"/>
  <c r="E23" i="1"/>
  <c r="D23" i="1"/>
  <c r="C23" i="1"/>
  <c r="J22" i="1"/>
  <c r="I22" i="1"/>
  <c r="H22" i="1"/>
  <c r="G22" i="1"/>
  <c r="F22" i="1"/>
  <c r="E22" i="1"/>
  <c r="D22" i="1"/>
  <c r="C22" i="1"/>
  <c r="J21" i="1"/>
  <c r="I21" i="1"/>
  <c r="H21" i="1"/>
  <c r="G21" i="1"/>
  <c r="F21" i="1"/>
  <c r="E21" i="1"/>
  <c r="D21" i="1"/>
  <c r="C21" i="1"/>
  <c r="J20" i="1"/>
  <c r="I20" i="1"/>
  <c r="H20" i="1"/>
  <c r="G20" i="1"/>
  <c r="F20" i="1"/>
  <c r="E20" i="1"/>
  <c r="D20" i="1"/>
  <c r="C20" i="1"/>
  <c r="J19" i="1"/>
  <c r="I19" i="1"/>
  <c r="H19" i="1"/>
  <c r="G19" i="1"/>
  <c r="F19" i="1"/>
  <c r="E19" i="1"/>
  <c r="D19" i="1"/>
  <c r="C19" i="1"/>
  <c r="J18" i="1"/>
  <c r="I18" i="1"/>
  <c r="H18" i="1"/>
  <c r="G18" i="1"/>
  <c r="F18" i="1"/>
  <c r="E18" i="1"/>
  <c r="D18" i="1"/>
  <c r="C18" i="1"/>
  <c r="J17" i="1"/>
  <c r="I17" i="1"/>
  <c r="H17" i="1"/>
  <c r="G17" i="1"/>
  <c r="F17" i="1"/>
  <c r="E17" i="1"/>
  <c r="D17" i="1"/>
  <c r="C17" i="1"/>
  <c r="J16" i="1"/>
  <c r="I16" i="1"/>
  <c r="H16" i="1"/>
  <c r="G16" i="1"/>
  <c r="F16" i="1"/>
  <c r="E16" i="1"/>
  <c r="D16" i="1"/>
  <c r="C16" i="1"/>
  <c r="J15" i="1"/>
  <c r="I15" i="1"/>
  <c r="H15" i="1"/>
  <c r="G15" i="1"/>
  <c r="F15" i="1"/>
  <c r="E15" i="1"/>
  <c r="D15" i="1"/>
  <c r="C15" i="1"/>
  <c r="J14" i="1"/>
  <c r="I14" i="1"/>
  <c r="H14" i="1"/>
  <c r="G14" i="1"/>
  <c r="F14" i="1"/>
  <c r="E14" i="1"/>
  <c r="D14" i="1"/>
  <c r="C14" i="1"/>
  <c r="J13" i="1"/>
  <c r="I13" i="1"/>
  <c r="H13" i="1"/>
  <c r="G13" i="1"/>
  <c r="F13" i="1"/>
  <c r="E13" i="1"/>
  <c r="D13" i="1"/>
  <c r="C13" i="1"/>
  <c r="J12" i="1"/>
  <c r="I12" i="1"/>
  <c r="H12" i="1"/>
  <c r="G12" i="1"/>
  <c r="F12" i="1"/>
  <c r="E12" i="1"/>
  <c r="D12" i="1"/>
  <c r="C12" i="1"/>
  <c r="J11" i="1"/>
  <c r="I11" i="1"/>
  <c r="H11" i="1"/>
  <c r="G11" i="1"/>
  <c r="F11" i="1"/>
  <c r="E11" i="1"/>
  <c r="D11" i="1"/>
  <c r="C11" i="1"/>
  <c r="J10" i="1"/>
  <c r="I10" i="1"/>
  <c r="H10" i="1"/>
  <c r="G10" i="1"/>
  <c r="F10" i="1"/>
  <c r="E10" i="1"/>
  <c r="D10" i="1"/>
  <c r="C10" i="1"/>
  <c r="J9" i="1"/>
  <c r="I9" i="1"/>
  <c r="H9" i="1"/>
  <c r="G9" i="1"/>
  <c r="F9" i="1"/>
  <c r="E9" i="1"/>
  <c r="D9" i="1"/>
  <c r="C9" i="1"/>
  <c r="J8" i="1"/>
  <c r="I8" i="1"/>
  <c r="H8" i="1"/>
  <c r="G8" i="1"/>
  <c r="F8" i="1"/>
  <c r="E8" i="1"/>
  <c r="D8" i="1"/>
  <c r="C8" i="1"/>
  <c r="J7" i="1"/>
  <c r="I7" i="1"/>
  <c r="H7" i="1"/>
  <c r="G7" i="1"/>
  <c r="F7" i="1"/>
  <c r="E7" i="1"/>
  <c r="D7" i="1"/>
  <c r="C7" i="1"/>
  <c r="J6" i="1"/>
  <c r="I6" i="1"/>
  <c r="H6" i="1"/>
  <c r="G6" i="1"/>
  <c r="F6" i="1"/>
  <c r="E6" i="1"/>
  <c r="D6" i="1"/>
  <c r="C6" i="1"/>
  <c r="J5" i="1"/>
  <c r="I5" i="1"/>
  <c r="H5" i="1"/>
  <c r="G5" i="1"/>
  <c r="F5" i="1"/>
  <c r="E5" i="1"/>
  <c r="D5" i="1"/>
  <c r="C5" i="1"/>
  <c r="J4" i="1"/>
  <c r="I4" i="1"/>
  <c r="H4" i="1"/>
  <c r="G4" i="1"/>
  <c r="F4" i="1"/>
  <c r="E4" i="1"/>
  <c r="D4" i="1"/>
  <c r="C4" i="1"/>
  <c r="J3" i="1"/>
  <c r="I3" i="1"/>
  <c r="H3" i="1"/>
  <c r="G3" i="1"/>
  <c r="F3" i="1"/>
  <c r="E3" i="1"/>
  <c r="D3" i="1"/>
  <c r="C3" i="1"/>
  <c r="J2" i="1"/>
  <c r="I2" i="1"/>
  <c r="H2" i="1"/>
  <c r="G2" i="1"/>
  <c r="F2" i="1"/>
  <c r="E2" i="1"/>
  <c r="D2" i="1"/>
  <c r="C2" i="1"/>
</calcChain>
</file>

<file path=xl/sharedStrings.xml><?xml version="1.0" encoding="utf-8"?>
<sst xmlns="http://schemas.openxmlformats.org/spreadsheetml/2006/main" count="331" uniqueCount="74">
  <si>
    <t>sezione_noga2008</t>
  </si>
  <si>
    <t>statistica</t>
  </si>
  <si>
    <t>p_10</t>
  </si>
  <si>
    <t>p_20</t>
  </si>
  <si>
    <t>p_10_CS</t>
  </si>
  <si>
    <t>p_20_CS</t>
  </si>
  <si>
    <t>p_controfattuale</t>
  </si>
  <si>
    <t>delta_tot</t>
  </si>
  <si>
    <t>delta_tot_CS</t>
  </si>
  <si>
    <t>delta_S</t>
  </si>
  <si>
    <t>info</t>
  </si>
  <si>
    <t>Totale</t>
  </si>
  <si>
    <t>p10</t>
  </si>
  <si>
    <t>ok</t>
  </si>
  <si>
    <t>B</t>
  </si>
  <si>
    <t>( )**</t>
  </si>
  <si>
    <t>C</t>
  </si>
  <si>
    <t>D</t>
  </si>
  <si>
    <t>ok**</t>
  </si>
  <si>
    <t>E</t>
  </si>
  <si>
    <t>F</t>
  </si>
  <si>
    <t>G</t>
  </si>
  <si>
    <t>H</t>
  </si>
  <si>
    <t>I</t>
  </si>
  <si>
    <t>ok*</t>
  </si>
  <si>
    <t>J</t>
  </si>
  <si>
    <t>K</t>
  </si>
  <si>
    <t>L</t>
  </si>
  <si>
    <t>M</t>
  </si>
  <si>
    <t>N</t>
  </si>
  <si>
    <t>P</t>
  </si>
  <si>
    <t>Q</t>
  </si>
  <si>
    <t>R</t>
  </si>
  <si>
    <t>( )*</t>
  </si>
  <si>
    <t>S</t>
  </si>
  <si>
    <t>p25</t>
  </si>
  <si>
    <t>p50</t>
  </si>
  <si>
    <t>p75</t>
  </si>
  <si>
    <t>p90</t>
  </si>
  <si>
    <t>( )</t>
  </si>
  <si>
    <t>variabili</t>
  </si>
  <si>
    <t>nome_variabile</t>
  </si>
  <si>
    <t>la sezione economica (NOGA 2008)</t>
  </si>
  <si>
    <t>la statistica salariale sulla quale viene fatta la scomposizione della differenza tra il 2020 e il 2010 (p10, p25, p50, p75, p90)</t>
  </si>
  <si>
    <t>Descrizione delle colonne numeriche:</t>
  </si>
  <si>
    <t>descrizione_statistica</t>
  </si>
  <si>
    <t>salario lordo mensile standardizzato nel 2010</t>
  </si>
  <si>
    <t>salario lordo mensile standardizzato nel 2020</t>
  </si>
  <si>
    <t>salario lordo mensile standardizzato nel 2010, nel supporto comune</t>
  </si>
  <si>
    <t>salario lordo mensile standardizzato nel 2020, nel supporto comune</t>
  </si>
  <si>
    <t>salario lordo mensile standardizzato controfattuale: salario nel 2020 con la struttura economica del 2010</t>
  </si>
  <si>
    <t>differenza totale osservata (p_20 - p_10)</t>
  </si>
  <si>
    <t>differenza osservata nel supporto comune (p_20_CS - p_10_CS)</t>
  </si>
  <si>
    <t>delta_non_spiegato</t>
  </si>
  <si>
    <t>parte della differenza non spiegata da dei cambiamenti della struttura economica</t>
  </si>
  <si>
    <t>La colonna "info" riporta una delle informazioni seguenti:</t>
  </si>
  <si>
    <t>segno</t>
  </si>
  <si>
    <t>descrizione_segno</t>
  </si>
  <si>
    <t>esistono delle stime con le caratteristiche descritte in quella riga</t>
  </si>
  <si>
    <t>il supporto comune in quella riga comprende meno dell'80% delle osservazioni</t>
  </si>
  <si>
    <t>coefficiente di variazione superiore a 5% (valore incerto a livello statistico)</t>
  </si>
  <si>
    <t>coefficiente di variazione superiore a 5% (valore incerto a livello statistico) e supporto comune inferiore all'80%</t>
  </si>
  <si>
    <t>X</t>
  </si>
  <si>
    <t>dato non pubblicato per motivi legati alla protezione dei dati</t>
  </si>
  <si>
    <t>…</t>
  </si>
  <si>
    <t>dato non disponibile</t>
  </si>
  <si>
    <t>Glossario:</t>
  </si>
  <si>
    <r>
      <t>Scomposizione delle differenze salariali</t>
    </r>
    <r>
      <rPr>
        <vertAlign val="superscript"/>
        <sz val="11"/>
        <color rgb="FF000000"/>
        <rFont val="Calibri"/>
        <family val="2"/>
        <scheme val="minor"/>
      </rPr>
      <t>1</t>
    </r>
    <r>
      <rPr>
        <sz val="11"/>
        <color rgb="FF000000"/>
        <rFont val="Calibri"/>
        <family val="2"/>
        <scheme val="minor"/>
      </rPr>
      <t xml:space="preserve"> tra il 2010 e il 2020 nel settore privato, secondo la sezione economica (NOGA 2008), in Ticino</t>
    </r>
  </si>
  <si>
    <t>Elaborazione: Ufficio di statistica (Ustat), Giubiasco</t>
  </si>
  <si>
    <t>Ultima modifica: 13.06.2022</t>
  </si>
  <si>
    <r>
      <rPr>
        <vertAlign val="superscript"/>
        <sz val="10"/>
        <color rgb="FF000000"/>
        <rFont val="Calibri"/>
        <family val="2"/>
        <scheme val="minor"/>
      </rPr>
      <t>1</t>
    </r>
    <r>
      <rPr>
        <sz val="10"/>
        <color rgb="FF000000"/>
        <rFont val="Calibri"/>
        <family val="2"/>
        <scheme val="minor"/>
      </rPr>
      <t>Le scomposizioni sono state fatte  ai 5 livelli seguenti della distribuzione dei salari: decimo, venticinquesimo, cinquantesimo, settantacinquesimo e novantesimo percentile.</t>
    </r>
  </si>
  <si>
    <t xml:space="preserve">  Il livello del percentile è indicato nella colonna "statistica" (p10, p25, p50, p75, p90).</t>
  </si>
  <si>
    <t>il supporto comune in quella riga comprende tra l'80% e l'89,9% delle osservazioni</t>
  </si>
  <si>
    <t>coefficiente di variazione superiore a 5% (valore incerto a livello statistico) e supporto comune tra l'80% e l'89,9%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</si>
</sst>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(#,##0\)"/>
  </numFmts>
  <fonts count="7" x14ac:knownFonts="1">
    <font>
      <sz val="11"/>
      <color rgb="FF000000"/>
      <name val="Calibri"/>
      <family val="2"/>
      <scheme val="minor"/>
    </font>
    <font>
      <sz val="11"/>
      <color rgb="FF000000"/>
      <name val="Calibri"/>
    </font>
    <font>
      <u/>
      <sz val="11"/>
      <color theme="10"/>
      <name val="Calibri"/>
    </font>
    <font>
      <u/>
      <sz val="11"/>
      <color theme="1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vertAlign val="superscript"/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3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2" fillId="0" borderId="0" xfId="0" applyFont="1"/>
    <xf numFmtId="0" fontId="3" fillId="0" borderId="0" xfId="1"/>
    <xf numFmtId="0" fontId="5" fillId="0" borderId="0" xfId="0" applyFont="1"/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Table3" displayName="Table3" ref="A1:K91" totalsRowShown="0">
  <autoFilter ref="A1:K91"/>
  <tableColumns count="11">
    <tableColumn id="1" name="sezione_noga2008"/>
    <tableColumn id="2" name="statistica"/>
    <tableColumn id="3" name="p_10"/>
    <tableColumn id="4" name="p_20"/>
    <tableColumn id="5" name="p_10_CS"/>
    <tableColumn id="6" name="p_20_CS"/>
    <tableColumn id="7" name="p_controfattuale"/>
    <tableColumn id="8" name="delta_tot"/>
    <tableColumn id="9" name="delta_tot_CS"/>
    <tableColumn id="10" name="delta_S"/>
    <tableColumn id="11" name="info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1" name="Table43" displayName="Table43" ref="A1:B3" totalsRowShown="0">
  <tableColumns count="2">
    <tableColumn id="1" name="variabili"/>
    <tableColumn id="2" name="nome_variabile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2" name="Table68" displayName="Table68" ref="A19:B27" totalsRowShown="0">
  <tableColumns count="2">
    <tableColumn id="1" name="segno"/>
    <tableColumn id="2" name="descrizione_segno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4" name="Table548" displayName="Table548" ref="A7:B15" totalsRowShown="0">
  <tableColumns count="2">
    <tableColumn id="1" name="statistica"/>
    <tableColumn id="2" name="descrizione_statistica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1"/>
  <sheetViews>
    <sheetView workbookViewId="0">
      <pane xSplit="1" ySplit="1" topLeftCell="B2" activePane="bottomRight" state="frozen"/>
      <selection pane="topRight"/>
      <selection pane="bottomLeft"/>
      <selection pane="bottomRight" activeCell="K75" sqref="K75"/>
    </sheetView>
  </sheetViews>
  <sheetFormatPr defaultColWidth="11.42578125" defaultRowHeight="15" x14ac:dyDescent="0.25"/>
  <cols>
    <col min="1" max="1" width="19.7109375" customWidth="1"/>
    <col min="2" max="2" width="13.7109375" customWidth="1"/>
    <col min="3" max="6" width="16.7109375" customWidth="1"/>
    <col min="7" max="7" width="19.7109375" customWidth="1"/>
    <col min="8" max="10" width="16.7109375" customWidth="1"/>
    <col min="11" max="11" width="8.7109375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x14ac:dyDescent="0.25">
      <c r="A2" t="s">
        <v>11</v>
      </c>
      <c r="B2" t="s">
        <v>12</v>
      </c>
      <c r="C2" s="1">
        <f>VALUE(3199)</f>
        <v>3199</v>
      </c>
      <c r="D2" s="1">
        <f>VALUE(3449)</f>
        <v>3449</v>
      </c>
      <c r="E2" s="1">
        <f>VALUE(3192)</f>
        <v>3192</v>
      </c>
      <c r="F2" s="1">
        <f>VALUE(3445)</f>
        <v>3445</v>
      </c>
      <c r="G2" s="1">
        <f>VALUE(3407)</f>
        <v>3407</v>
      </c>
      <c r="H2" s="1">
        <f>VALUE(250)</f>
        <v>250</v>
      </c>
      <c r="I2" s="1">
        <f>VALUE(253)</f>
        <v>253</v>
      </c>
      <c r="J2" s="1">
        <f>VALUE(215)</f>
        <v>215</v>
      </c>
      <c r="K2" t="s">
        <v>13</v>
      </c>
    </row>
    <row r="3" spans="1:11" x14ac:dyDescent="0.25">
      <c r="A3" t="s">
        <v>14</v>
      </c>
      <c r="B3" t="s">
        <v>12</v>
      </c>
      <c r="C3" s="2">
        <f>VALUE(4858)</f>
        <v>4858</v>
      </c>
      <c r="D3" s="2">
        <f>VALUE(4871)</f>
        <v>4871</v>
      </c>
      <c r="E3" s="2">
        <f>VALUE(4858)</f>
        <v>4858</v>
      </c>
      <c r="F3" s="2">
        <f>VALUE(5046)</f>
        <v>5046</v>
      </c>
      <c r="G3" s="2">
        <f>VALUE(4871)</f>
        <v>4871</v>
      </c>
      <c r="H3" s="2">
        <f>VALUE(13)</f>
        <v>13</v>
      </c>
      <c r="I3" s="2">
        <f>VALUE(188)</f>
        <v>188</v>
      </c>
      <c r="J3" s="2">
        <f>VALUE(13)</f>
        <v>13</v>
      </c>
      <c r="K3" t="s">
        <v>15</v>
      </c>
    </row>
    <row r="4" spans="1:11" x14ac:dyDescent="0.25">
      <c r="A4" t="s">
        <v>16</v>
      </c>
      <c r="B4" t="s">
        <v>12</v>
      </c>
      <c r="C4" s="1">
        <f>VALUE(2770)</f>
        <v>2770</v>
      </c>
      <c r="D4" s="1">
        <f>VALUE(3125)</f>
        <v>3125</v>
      </c>
      <c r="E4" s="1">
        <f>VALUE(2770)</f>
        <v>2770</v>
      </c>
      <c r="F4" s="1">
        <f>VALUE(3124)</f>
        <v>3124</v>
      </c>
      <c r="G4" s="1">
        <f>VALUE(3129)</f>
        <v>3129</v>
      </c>
      <c r="H4" s="1">
        <f>VALUE(355)</f>
        <v>355</v>
      </c>
      <c r="I4" s="1">
        <f>VALUE(354)</f>
        <v>354</v>
      </c>
      <c r="J4" s="1">
        <f>VALUE(359)</f>
        <v>359</v>
      </c>
      <c r="K4" t="s">
        <v>13</v>
      </c>
    </row>
    <row r="5" spans="1:11" x14ac:dyDescent="0.25">
      <c r="A5" t="s">
        <v>17</v>
      </c>
      <c r="B5" t="s">
        <v>12</v>
      </c>
      <c r="C5" s="1">
        <f>VALUE(4629)</f>
        <v>4629</v>
      </c>
      <c r="D5" s="1">
        <f>VALUE(5130)</f>
        <v>5130</v>
      </c>
      <c r="E5" s="1">
        <f>VALUE(5179)</f>
        <v>5179</v>
      </c>
      <c r="F5" s="1">
        <f>VALUE(5144)</f>
        <v>5144</v>
      </c>
      <c r="G5" s="1">
        <f>VALUE(5332)</f>
        <v>5332</v>
      </c>
      <c r="H5" s="1">
        <f>VALUE(501)</f>
        <v>501</v>
      </c>
      <c r="I5" s="1">
        <f>VALUE(-35)</f>
        <v>-35</v>
      </c>
      <c r="J5" s="1">
        <f>VALUE(153)</f>
        <v>153</v>
      </c>
      <c r="K5" t="s">
        <v>18</v>
      </c>
    </row>
    <row r="6" spans="1:11" x14ac:dyDescent="0.25">
      <c r="A6" t="s">
        <v>19</v>
      </c>
      <c r="B6" t="s">
        <v>12</v>
      </c>
      <c r="C6" s="2">
        <f>VALUE(3358)</f>
        <v>3358</v>
      </c>
      <c r="D6" s="2">
        <f>VALUE(3321)</f>
        <v>3321</v>
      </c>
      <c r="E6" s="2">
        <f>VALUE(3334)</f>
        <v>3334</v>
      </c>
      <c r="F6" s="2">
        <f>VALUE(3321)</f>
        <v>3321</v>
      </c>
      <c r="G6" s="2">
        <f>VALUE(3321)</f>
        <v>3321</v>
      </c>
      <c r="H6" s="2">
        <f>VALUE(-37)</f>
        <v>-37</v>
      </c>
      <c r="I6" s="2">
        <f>VALUE(-13)</f>
        <v>-13</v>
      </c>
      <c r="J6" s="2">
        <f>VALUE(-13)</f>
        <v>-13</v>
      </c>
      <c r="K6" t="s">
        <v>15</v>
      </c>
    </row>
    <row r="7" spans="1:11" x14ac:dyDescent="0.25">
      <c r="A7" t="s">
        <v>20</v>
      </c>
      <c r="B7" t="s">
        <v>12</v>
      </c>
      <c r="C7" s="1">
        <f>VALUE(4427)</f>
        <v>4427</v>
      </c>
      <c r="D7" s="1">
        <f>VALUE(4644)</f>
        <v>4644</v>
      </c>
      <c r="E7" s="1">
        <f>VALUE(4467)</f>
        <v>4467</v>
      </c>
      <c r="F7" s="1">
        <f>VALUE(4686)</f>
        <v>4686</v>
      </c>
      <c r="G7" s="1">
        <f>VALUE(4810)</f>
        <v>4810</v>
      </c>
      <c r="H7" s="1">
        <f>VALUE(217)</f>
        <v>217</v>
      </c>
      <c r="I7" s="1">
        <f>VALUE(219)</f>
        <v>219</v>
      </c>
      <c r="J7" s="1">
        <f>VALUE(343)</f>
        <v>343</v>
      </c>
      <c r="K7" t="s">
        <v>13</v>
      </c>
    </row>
    <row r="8" spans="1:11" x14ac:dyDescent="0.25">
      <c r="A8" t="s">
        <v>21</v>
      </c>
      <c r="B8" t="s">
        <v>12</v>
      </c>
      <c r="C8" s="1">
        <f>VALUE(3339)</f>
        <v>3339</v>
      </c>
      <c r="D8" s="1">
        <f>VALUE(3581)</f>
        <v>3581</v>
      </c>
      <c r="E8" s="1">
        <f>VALUE(3352)</f>
        <v>3352</v>
      </c>
      <c r="F8" s="1">
        <f>VALUE(3580)</f>
        <v>3580</v>
      </c>
      <c r="G8" s="1">
        <f>VALUE(3566)</f>
        <v>3566</v>
      </c>
      <c r="H8" s="1">
        <f>VALUE(242)</f>
        <v>242</v>
      </c>
      <c r="I8" s="1">
        <f>VALUE(228)</f>
        <v>228</v>
      </c>
      <c r="J8" s="1">
        <f>VALUE(214)</f>
        <v>214</v>
      </c>
      <c r="K8" t="s">
        <v>13</v>
      </c>
    </row>
    <row r="9" spans="1:11" x14ac:dyDescent="0.25">
      <c r="A9" t="s">
        <v>22</v>
      </c>
      <c r="B9" t="s">
        <v>12</v>
      </c>
      <c r="C9" s="1">
        <f>VALUE(3529)</f>
        <v>3529</v>
      </c>
      <c r="D9" s="1">
        <f>VALUE(3335)</f>
        <v>3335</v>
      </c>
      <c r="E9" s="1">
        <f>VALUE(3546)</f>
        <v>3546</v>
      </c>
      <c r="F9" s="1">
        <f>VALUE(3332)</f>
        <v>3332</v>
      </c>
      <c r="G9" s="1">
        <f>VALUE(3380)</f>
        <v>3380</v>
      </c>
      <c r="H9" s="1">
        <f>VALUE(-194)</f>
        <v>-194</v>
      </c>
      <c r="I9" s="1">
        <f>VALUE(-214)</f>
        <v>-214</v>
      </c>
      <c r="J9" s="1">
        <f>VALUE(-166)</f>
        <v>-166</v>
      </c>
      <c r="K9" t="s">
        <v>13</v>
      </c>
    </row>
    <row r="10" spans="1:11" x14ac:dyDescent="0.25">
      <c r="A10" t="s">
        <v>23</v>
      </c>
      <c r="B10" t="s">
        <v>12</v>
      </c>
      <c r="C10" s="1">
        <f>VALUE(3126)</f>
        <v>3126</v>
      </c>
      <c r="D10" s="1">
        <f>VALUE(3333)</f>
        <v>3333</v>
      </c>
      <c r="E10" s="1">
        <f>VALUE(3126)</f>
        <v>3126</v>
      </c>
      <c r="F10" s="1">
        <f>VALUE(3340)</f>
        <v>3340</v>
      </c>
      <c r="G10" s="1">
        <f>VALUE(3370)</f>
        <v>3370</v>
      </c>
      <c r="H10" s="1">
        <f>VALUE(207)</f>
        <v>207</v>
      </c>
      <c r="I10" s="1">
        <f>VALUE(214)</f>
        <v>214</v>
      </c>
      <c r="J10" s="1">
        <f>VALUE(244)</f>
        <v>244</v>
      </c>
      <c r="K10" t="s">
        <v>24</v>
      </c>
    </row>
    <row r="11" spans="1:11" x14ac:dyDescent="0.25">
      <c r="A11" t="s">
        <v>25</v>
      </c>
      <c r="B11" t="s">
        <v>12</v>
      </c>
      <c r="C11" s="1">
        <f>VALUE(3714)</f>
        <v>3714</v>
      </c>
      <c r="D11" s="1">
        <f>VALUE(3647)</f>
        <v>3647</v>
      </c>
      <c r="E11" s="1">
        <f>VALUE(3769)</f>
        <v>3769</v>
      </c>
      <c r="F11" s="1">
        <f>VALUE(3618)</f>
        <v>3618</v>
      </c>
      <c r="G11" s="1">
        <f>VALUE(3980)</f>
        <v>3980</v>
      </c>
      <c r="H11" s="1">
        <f>VALUE(-67)</f>
        <v>-67</v>
      </c>
      <c r="I11" s="1">
        <f>VALUE(-151)</f>
        <v>-151</v>
      </c>
      <c r="J11" s="1">
        <f>VALUE(211)</f>
        <v>211</v>
      </c>
      <c r="K11" t="s">
        <v>13</v>
      </c>
    </row>
    <row r="12" spans="1:11" x14ac:dyDescent="0.25">
      <c r="A12" t="s">
        <v>26</v>
      </c>
      <c r="B12" t="s">
        <v>12</v>
      </c>
      <c r="C12" s="1">
        <f>VALUE(4667)</f>
        <v>4667</v>
      </c>
      <c r="D12" s="1">
        <f>VALUE(4511)</f>
        <v>4511</v>
      </c>
      <c r="E12" s="1">
        <f>VALUE(4531)</f>
        <v>4531</v>
      </c>
      <c r="F12" s="1">
        <f>VALUE(4548)</f>
        <v>4548</v>
      </c>
      <c r="G12" s="1">
        <f>VALUE(4725)</f>
        <v>4725</v>
      </c>
      <c r="H12" s="1">
        <f>VALUE(-156)</f>
        <v>-156</v>
      </c>
      <c r="I12" s="1">
        <f>VALUE(17)</f>
        <v>17</v>
      </c>
      <c r="J12" s="1">
        <f>VALUE(194)</f>
        <v>194</v>
      </c>
      <c r="K12" t="s">
        <v>18</v>
      </c>
    </row>
    <row r="13" spans="1:11" x14ac:dyDescent="0.25">
      <c r="A13" t="s">
        <v>27</v>
      </c>
      <c r="B13" t="s">
        <v>12</v>
      </c>
      <c r="C13" s="1">
        <f>VALUE(3597)</f>
        <v>3597</v>
      </c>
      <c r="D13" s="1">
        <f>VALUE(3553)</f>
        <v>3553</v>
      </c>
      <c r="E13" s="1">
        <f>VALUE(3629)</f>
        <v>3629</v>
      </c>
      <c r="F13" s="1">
        <f>VALUE(3588)</f>
        <v>3588</v>
      </c>
      <c r="G13" s="1">
        <f>VALUE(3322)</f>
        <v>3322</v>
      </c>
      <c r="H13" s="1">
        <f>VALUE(-44)</f>
        <v>-44</v>
      </c>
      <c r="I13" s="1">
        <f>VALUE(-41)</f>
        <v>-41</v>
      </c>
      <c r="J13" s="1">
        <f>VALUE(-307)</f>
        <v>-307</v>
      </c>
      <c r="K13" t="s">
        <v>24</v>
      </c>
    </row>
    <row r="14" spans="1:11" x14ac:dyDescent="0.25">
      <c r="A14" t="s">
        <v>28</v>
      </c>
      <c r="B14" t="s">
        <v>12</v>
      </c>
      <c r="C14" s="1">
        <f>VALUE(3690)</f>
        <v>3690</v>
      </c>
      <c r="D14" s="1">
        <f>VALUE(3671)</f>
        <v>3671</v>
      </c>
      <c r="E14" s="1">
        <f>VALUE(3765)</f>
        <v>3765</v>
      </c>
      <c r="F14" s="1">
        <f>VALUE(3683)</f>
        <v>3683</v>
      </c>
      <c r="G14" s="1">
        <f>VALUE(3886)</f>
        <v>3886</v>
      </c>
      <c r="H14" s="1">
        <f>VALUE(-19)</f>
        <v>-19</v>
      </c>
      <c r="I14" s="1">
        <f>VALUE(-82)</f>
        <v>-82</v>
      </c>
      <c r="J14" s="1">
        <f>VALUE(121)</f>
        <v>121</v>
      </c>
      <c r="K14" t="s">
        <v>13</v>
      </c>
    </row>
    <row r="15" spans="1:11" x14ac:dyDescent="0.25">
      <c r="A15" t="s">
        <v>29</v>
      </c>
      <c r="B15" t="s">
        <v>12</v>
      </c>
      <c r="C15" s="1">
        <f>VALUE(2872)</f>
        <v>2872</v>
      </c>
      <c r="D15" s="1">
        <f>VALUE(3414)</f>
        <v>3414</v>
      </c>
      <c r="E15" s="1">
        <f>VALUE(2869)</f>
        <v>2869</v>
      </c>
      <c r="F15" s="1">
        <f>VALUE(3404)</f>
        <v>3404</v>
      </c>
      <c r="G15" s="1">
        <f>VALUE(3400)</f>
        <v>3400</v>
      </c>
      <c r="H15" s="1">
        <f>VALUE(542)</f>
        <v>542</v>
      </c>
      <c r="I15" s="1">
        <f>VALUE(535)</f>
        <v>535</v>
      </c>
      <c r="J15" s="1">
        <f>VALUE(531)</f>
        <v>531</v>
      </c>
      <c r="K15" t="s">
        <v>13</v>
      </c>
    </row>
    <row r="16" spans="1:11" x14ac:dyDescent="0.25">
      <c r="A16" t="s">
        <v>30</v>
      </c>
      <c r="B16" t="s">
        <v>12</v>
      </c>
      <c r="C16" s="2">
        <f>VALUE(4133)</f>
        <v>4133</v>
      </c>
      <c r="D16" s="2">
        <f>VALUE(3470)</f>
        <v>3470</v>
      </c>
      <c r="E16" s="2">
        <f>VALUE(4235)</f>
        <v>4235</v>
      </c>
      <c r="F16" s="2">
        <f>VALUE(3446)</f>
        <v>3446</v>
      </c>
      <c r="G16" s="2">
        <f>VALUE(3716)</f>
        <v>3716</v>
      </c>
      <c r="H16" s="2">
        <f>VALUE(-663)</f>
        <v>-663</v>
      </c>
      <c r="I16" s="2">
        <f>VALUE(-789)</f>
        <v>-789</v>
      </c>
      <c r="J16" s="2">
        <f>VALUE(-519)</f>
        <v>-519</v>
      </c>
      <c r="K16" t="s">
        <v>15</v>
      </c>
    </row>
    <row r="17" spans="1:11" x14ac:dyDescent="0.25">
      <c r="A17" t="s">
        <v>31</v>
      </c>
      <c r="B17" t="s">
        <v>12</v>
      </c>
      <c r="C17" s="1">
        <f>VALUE(4209)</f>
        <v>4209</v>
      </c>
      <c r="D17" s="1">
        <f>VALUE(4266)</f>
        <v>4266</v>
      </c>
      <c r="E17" s="1">
        <f>VALUE(4246)</f>
        <v>4246</v>
      </c>
      <c r="F17" s="1">
        <f>VALUE(4275)</f>
        <v>4275</v>
      </c>
      <c r="G17" s="1">
        <f>VALUE(4266)</f>
        <v>4266</v>
      </c>
      <c r="H17" s="1">
        <f>VALUE(57)</f>
        <v>57</v>
      </c>
      <c r="I17" s="1">
        <f>VALUE(29)</f>
        <v>29</v>
      </c>
      <c r="J17" s="1">
        <f>VALUE(20)</f>
        <v>20</v>
      </c>
      <c r="K17" t="s">
        <v>13</v>
      </c>
    </row>
    <row r="18" spans="1:11" x14ac:dyDescent="0.25">
      <c r="A18" t="s">
        <v>32</v>
      </c>
      <c r="B18" t="s">
        <v>12</v>
      </c>
      <c r="C18" s="2">
        <f>VALUE(3286)</f>
        <v>3286</v>
      </c>
      <c r="D18" s="2">
        <f>VALUE(3100)</f>
        <v>3100</v>
      </c>
      <c r="E18" s="2">
        <f>VALUE(3302)</f>
        <v>3302</v>
      </c>
      <c r="F18" s="2">
        <f>VALUE(3159)</f>
        <v>3159</v>
      </c>
      <c r="G18" s="2">
        <f>VALUE(3200)</f>
        <v>3200</v>
      </c>
      <c r="H18" s="2">
        <f>VALUE(-186)</f>
        <v>-186</v>
      </c>
      <c r="I18" s="2">
        <f>VALUE(-143)</f>
        <v>-143</v>
      </c>
      <c r="J18" s="2">
        <f>VALUE(-102)</f>
        <v>-102</v>
      </c>
      <c r="K18" t="s">
        <v>33</v>
      </c>
    </row>
    <row r="19" spans="1:11" x14ac:dyDescent="0.25">
      <c r="A19" t="s">
        <v>34</v>
      </c>
      <c r="B19" t="s">
        <v>12</v>
      </c>
      <c r="C19" s="1">
        <f>VALUE(2758)</f>
        <v>2758</v>
      </c>
      <c r="D19" s="1">
        <f>VALUE(3150)</f>
        <v>3150</v>
      </c>
      <c r="E19" s="1">
        <f>VALUE(2772)</f>
        <v>2772</v>
      </c>
      <c r="F19" s="1">
        <f>VALUE(3153)</f>
        <v>3153</v>
      </c>
      <c r="G19" s="1">
        <f>VALUE(3161)</f>
        <v>3161</v>
      </c>
      <c r="H19" s="1">
        <f>VALUE(392)</f>
        <v>392</v>
      </c>
      <c r="I19" s="1">
        <f>VALUE(381)</f>
        <v>381</v>
      </c>
      <c r="J19" s="1">
        <f>VALUE(389)</f>
        <v>389</v>
      </c>
      <c r="K19" t="s">
        <v>24</v>
      </c>
    </row>
    <row r="20" spans="1:11" x14ac:dyDescent="0.25">
      <c r="A20" t="s">
        <v>11</v>
      </c>
      <c r="B20" t="s">
        <v>35</v>
      </c>
      <c r="C20" s="1">
        <f>VALUE(3932)</f>
        <v>3932</v>
      </c>
      <c r="D20" s="1">
        <f>VALUE(4099)</f>
        <v>4099</v>
      </c>
      <c r="E20" s="1">
        <f>VALUE(3926)</f>
        <v>3926</v>
      </c>
      <c r="F20" s="1">
        <f>VALUE(4099)</f>
        <v>4099</v>
      </c>
      <c r="G20" s="1">
        <f>VALUE(4072)</f>
        <v>4072</v>
      </c>
      <c r="H20" s="1">
        <f>VALUE(167)</f>
        <v>167</v>
      </c>
      <c r="I20" s="1">
        <f>VALUE(173)</f>
        <v>173</v>
      </c>
      <c r="J20" s="1">
        <f>VALUE(146)</f>
        <v>146</v>
      </c>
      <c r="K20" t="s">
        <v>13</v>
      </c>
    </row>
    <row r="21" spans="1:11" x14ac:dyDescent="0.25">
      <c r="A21" t="s">
        <v>14</v>
      </c>
      <c r="B21" t="s">
        <v>35</v>
      </c>
      <c r="C21" s="1">
        <f>VALUE(5432)</f>
        <v>5432</v>
      </c>
      <c r="D21" s="1">
        <f>VALUE(5429)</f>
        <v>5429</v>
      </c>
      <c r="E21" s="1">
        <f>VALUE(5439)</f>
        <v>5439</v>
      </c>
      <c r="F21" s="1">
        <f>VALUE(5429)</f>
        <v>5429</v>
      </c>
      <c r="G21" s="1">
        <f>VALUE(5378)</f>
        <v>5378</v>
      </c>
      <c r="H21" s="1">
        <f>VALUE(-3)</f>
        <v>-3</v>
      </c>
      <c r="I21" s="1">
        <f>VALUE(-10)</f>
        <v>-10</v>
      </c>
      <c r="J21" s="1">
        <f>VALUE(-61)</f>
        <v>-61</v>
      </c>
      <c r="K21" t="s">
        <v>18</v>
      </c>
    </row>
    <row r="22" spans="1:11" x14ac:dyDescent="0.25">
      <c r="A22" t="s">
        <v>16</v>
      </c>
      <c r="B22" t="s">
        <v>35</v>
      </c>
      <c r="C22" s="1">
        <f>VALUE(3471)</f>
        <v>3471</v>
      </c>
      <c r="D22" s="1">
        <f>VALUE(3528)</f>
        <v>3528</v>
      </c>
      <c r="E22" s="1">
        <f>VALUE(3472)</f>
        <v>3472</v>
      </c>
      <c r="F22" s="1">
        <f>VALUE(3527)</f>
        <v>3527</v>
      </c>
      <c r="G22" s="1">
        <f>VALUE(3516)</f>
        <v>3516</v>
      </c>
      <c r="H22" s="1">
        <f>VALUE(57)</f>
        <v>57</v>
      </c>
      <c r="I22" s="1">
        <f>VALUE(55)</f>
        <v>55</v>
      </c>
      <c r="J22" s="1">
        <f>VALUE(44)</f>
        <v>44</v>
      </c>
      <c r="K22" t="s">
        <v>13</v>
      </c>
    </row>
    <row r="23" spans="1:11" x14ac:dyDescent="0.25">
      <c r="A23" t="s">
        <v>17</v>
      </c>
      <c r="B23" t="s">
        <v>35</v>
      </c>
      <c r="C23" s="1">
        <f>VALUE(5557)</f>
        <v>5557</v>
      </c>
      <c r="D23" s="1">
        <f>VALUE(5848)</f>
        <v>5848</v>
      </c>
      <c r="E23" s="1">
        <f>VALUE(5941)</f>
        <v>5941</v>
      </c>
      <c r="F23" s="1">
        <f>VALUE(5781)</f>
        <v>5781</v>
      </c>
      <c r="G23" s="1">
        <f>VALUE(6025)</f>
        <v>6025</v>
      </c>
      <c r="H23" s="1">
        <f>VALUE(291)</f>
        <v>291</v>
      </c>
      <c r="I23" s="1">
        <f>VALUE(-160)</f>
        <v>-160</v>
      </c>
      <c r="J23" s="1">
        <f>VALUE(84)</f>
        <v>84</v>
      </c>
      <c r="K23" t="s">
        <v>18</v>
      </c>
    </row>
    <row r="24" spans="1:11" x14ac:dyDescent="0.25">
      <c r="A24" t="s">
        <v>19</v>
      </c>
      <c r="B24" t="s">
        <v>35</v>
      </c>
      <c r="C24" s="1">
        <f>VALUE(3780)</f>
        <v>3780</v>
      </c>
      <c r="D24" s="1">
        <f>VALUE(3810)</f>
        <v>3810</v>
      </c>
      <c r="E24" s="1">
        <f>VALUE(3703)</f>
        <v>3703</v>
      </c>
      <c r="F24" s="1">
        <f>VALUE(3775)</f>
        <v>3775</v>
      </c>
      <c r="G24" s="1">
        <f>VALUE(3824)</f>
        <v>3824</v>
      </c>
      <c r="H24" s="1">
        <f>VALUE(30)</f>
        <v>30</v>
      </c>
      <c r="I24" s="1">
        <f>VALUE(72)</f>
        <v>72</v>
      </c>
      <c r="J24" s="1">
        <f>VALUE(121)</f>
        <v>121</v>
      </c>
      <c r="K24" t="s">
        <v>18</v>
      </c>
    </row>
    <row r="25" spans="1:11" x14ac:dyDescent="0.25">
      <c r="A25" t="s">
        <v>20</v>
      </c>
      <c r="B25" t="s">
        <v>35</v>
      </c>
      <c r="C25" s="1">
        <f>VALUE(4975)</f>
        <v>4975</v>
      </c>
      <c r="D25" s="1">
        <f>VALUE(5141)</f>
        <v>5141</v>
      </c>
      <c r="E25" s="1">
        <f>VALUE(5025)</f>
        <v>5025</v>
      </c>
      <c r="F25" s="1">
        <f>VALUE(5152)</f>
        <v>5152</v>
      </c>
      <c r="G25" s="1">
        <f>VALUE(5178)</f>
        <v>5178</v>
      </c>
      <c r="H25" s="1">
        <f>VALUE(166)</f>
        <v>166</v>
      </c>
      <c r="I25" s="1">
        <f>VALUE(127)</f>
        <v>127</v>
      </c>
      <c r="J25" s="1">
        <f>VALUE(153)</f>
        <v>153</v>
      </c>
      <c r="K25" t="s">
        <v>13</v>
      </c>
    </row>
    <row r="26" spans="1:11" x14ac:dyDescent="0.25">
      <c r="A26" t="s">
        <v>21</v>
      </c>
      <c r="B26" t="s">
        <v>35</v>
      </c>
      <c r="C26" s="1">
        <f>VALUE(3910)</f>
        <v>3910</v>
      </c>
      <c r="D26" s="1">
        <f>VALUE(4241)</f>
        <v>4241</v>
      </c>
      <c r="E26" s="1">
        <f>VALUE(3910)</f>
        <v>3910</v>
      </c>
      <c r="F26" s="1">
        <f>VALUE(4238)</f>
        <v>4238</v>
      </c>
      <c r="G26" s="1">
        <f>VALUE(4206)</f>
        <v>4206</v>
      </c>
      <c r="H26" s="1">
        <f>VALUE(331)</f>
        <v>331</v>
      </c>
      <c r="I26" s="1">
        <f>VALUE(328)</f>
        <v>328</v>
      </c>
      <c r="J26" s="1">
        <f>VALUE(296)</f>
        <v>296</v>
      </c>
      <c r="K26" t="s">
        <v>13</v>
      </c>
    </row>
    <row r="27" spans="1:11" x14ac:dyDescent="0.25">
      <c r="A27" t="s">
        <v>22</v>
      </c>
      <c r="B27" t="s">
        <v>35</v>
      </c>
      <c r="C27" s="1">
        <f>VALUE(4056)</f>
        <v>4056</v>
      </c>
      <c r="D27" s="1">
        <f>VALUE(3746)</f>
        <v>3746</v>
      </c>
      <c r="E27" s="1">
        <f>VALUE(4063)</f>
        <v>4063</v>
      </c>
      <c r="F27" s="1">
        <f>VALUE(3737)</f>
        <v>3737</v>
      </c>
      <c r="G27" s="1">
        <f>VALUE(3999)</f>
        <v>3999</v>
      </c>
      <c r="H27" s="1">
        <f>VALUE(-310)</f>
        <v>-310</v>
      </c>
      <c r="I27" s="1">
        <f>VALUE(-326)</f>
        <v>-326</v>
      </c>
      <c r="J27" s="1">
        <f>VALUE(-64)</f>
        <v>-64</v>
      </c>
      <c r="K27" t="s">
        <v>13</v>
      </c>
    </row>
    <row r="28" spans="1:11" x14ac:dyDescent="0.25">
      <c r="A28" t="s">
        <v>23</v>
      </c>
      <c r="B28" t="s">
        <v>35</v>
      </c>
      <c r="C28" s="1">
        <f>VALUE(3377)</f>
        <v>3377</v>
      </c>
      <c r="D28" s="1">
        <f>VALUE(3580)</f>
        <v>3580</v>
      </c>
      <c r="E28" s="1">
        <f>VALUE(3373)</f>
        <v>3373</v>
      </c>
      <c r="F28" s="1">
        <f>VALUE(3580)</f>
        <v>3580</v>
      </c>
      <c r="G28" s="1">
        <f>VALUE(3590)</f>
        <v>3590</v>
      </c>
      <c r="H28" s="1">
        <f>VALUE(203)</f>
        <v>203</v>
      </c>
      <c r="I28" s="1">
        <f>VALUE(207)</f>
        <v>207</v>
      </c>
      <c r="J28" s="1">
        <f>VALUE(217)</f>
        <v>217</v>
      </c>
      <c r="K28" t="s">
        <v>24</v>
      </c>
    </row>
    <row r="29" spans="1:11" x14ac:dyDescent="0.25">
      <c r="A29" t="s">
        <v>25</v>
      </c>
      <c r="B29" t="s">
        <v>35</v>
      </c>
      <c r="C29" s="1">
        <f>VALUE(4641)</f>
        <v>4641</v>
      </c>
      <c r="D29" s="1">
        <f>VALUE(4430)</f>
        <v>4430</v>
      </c>
      <c r="E29" s="1">
        <f>VALUE(4658)</f>
        <v>4658</v>
      </c>
      <c r="F29" s="1">
        <f>VALUE(4423)</f>
        <v>4423</v>
      </c>
      <c r="G29" s="1">
        <f>VALUE(5021)</f>
        <v>5021</v>
      </c>
      <c r="H29" s="1">
        <f>VALUE(-211)</f>
        <v>-211</v>
      </c>
      <c r="I29" s="1">
        <f>VALUE(-235)</f>
        <v>-235</v>
      </c>
      <c r="J29" s="1">
        <f>VALUE(363)</f>
        <v>363</v>
      </c>
      <c r="K29" t="s">
        <v>13</v>
      </c>
    </row>
    <row r="30" spans="1:11" x14ac:dyDescent="0.25">
      <c r="A30" t="s">
        <v>26</v>
      </c>
      <c r="B30" t="s">
        <v>35</v>
      </c>
      <c r="C30" s="1">
        <f>VALUE(5698)</f>
        <v>5698</v>
      </c>
      <c r="D30" s="1">
        <f>VALUE(5950)</f>
        <v>5950</v>
      </c>
      <c r="E30" s="1">
        <f>VALUE(5510)</f>
        <v>5510</v>
      </c>
      <c r="F30" s="1">
        <f>VALUE(5956)</f>
        <v>5956</v>
      </c>
      <c r="G30" s="1">
        <f>VALUE(5848)</f>
        <v>5848</v>
      </c>
      <c r="H30" s="1">
        <f>VALUE(252)</f>
        <v>252</v>
      </c>
      <c r="I30" s="1">
        <f>VALUE(446)</f>
        <v>446</v>
      </c>
      <c r="J30" s="1">
        <f>VALUE(338)</f>
        <v>338</v>
      </c>
      <c r="K30" t="s">
        <v>18</v>
      </c>
    </row>
    <row r="31" spans="1:11" x14ac:dyDescent="0.25">
      <c r="A31" t="s">
        <v>27</v>
      </c>
      <c r="B31" t="s">
        <v>35</v>
      </c>
      <c r="C31" s="1">
        <f>VALUE(4519)</f>
        <v>4519</v>
      </c>
      <c r="D31" s="1">
        <f>VALUE(4333)</f>
        <v>4333</v>
      </c>
      <c r="E31" s="1">
        <f>VALUE(4588)</f>
        <v>4588</v>
      </c>
      <c r="F31" s="1">
        <f>VALUE(4471)</f>
        <v>4471</v>
      </c>
      <c r="G31" s="1">
        <f>VALUE(4126)</f>
        <v>4126</v>
      </c>
      <c r="H31" s="1">
        <f>VALUE(-186)</f>
        <v>-186</v>
      </c>
      <c r="I31" s="1">
        <f>VALUE(-117)</f>
        <v>-117</v>
      </c>
      <c r="J31" s="1">
        <f>VALUE(-462)</f>
        <v>-462</v>
      </c>
      <c r="K31" t="s">
        <v>24</v>
      </c>
    </row>
    <row r="32" spans="1:11" x14ac:dyDescent="0.25">
      <c r="A32" t="s">
        <v>28</v>
      </c>
      <c r="B32" t="s">
        <v>35</v>
      </c>
      <c r="C32" s="1">
        <f>VALUE(4604)</f>
        <v>4604</v>
      </c>
      <c r="D32" s="1">
        <f>VALUE(4536)</f>
        <v>4536</v>
      </c>
      <c r="E32" s="1">
        <f>VALUE(4683)</f>
        <v>4683</v>
      </c>
      <c r="F32" s="1">
        <f>VALUE(4548)</f>
        <v>4548</v>
      </c>
      <c r="G32" s="1">
        <f>VALUE(4842)</f>
        <v>4842</v>
      </c>
      <c r="H32" s="1">
        <f>VALUE(-68)</f>
        <v>-68</v>
      </c>
      <c r="I32" s="1">
        <f>VALUE(-135)</f>
        <v>-135</v>
      </c>
      <c r="J32" s="1">
        <f>VALUE(159)</f>
        <v>159</v>
      </c>
      <c r="K32" t="s">
        <v>13</v>
      </c>
    </row>
    <row r="33" spans="1:11" x14ac:dyDescent="0.25">
      <c r="A33" t="s">
        <v>29</v>
      </c>
      <c r="B33" t="s">
        <v>35</v>
      </c>
      <c r="C33" s="1">
        <f>VALUE(3200)</f>
        <v>3200</v>
      </c>
      <c r="D33" s="1">
        <f>VALUE(3715)</f>
        <v>3715</v>
      </c>
      <c r="E33" s="1">
        <f>VALUE(3198)</f>
        <v>3198</v>
      </c>
      <c r="F33" s="1">
        <f>VALUE(3685)</f>
        <v>3685</v>
      </c>
      <c r="G33" s="1">
        <f>VALUE(3694)</f>
        <v>3694</v>
      </c>
      <c r="H33" s="1">
        <f>VALUE(515)</f>
        <v>515</v>
      </c>
      <c r="I33" s="1">
        <f>VALUE(487)</f>
        <v>487</v>
      </c>
      <c r="J33" s="1">
        <f>VALUE(496)</f>
        <v>496</v>
      </c>
      <c r="K33" t="s">
        <v>13</v>
      </c>
    </row>
    <row r="34" spans="1:11" x14ac:dyDescent="0.25">
      <c r="A34" t="s">
        <v>30</v>
      </c>
      <c r="B34" t="s">
        <v>35</v>
      </c>
      <c r="C34" s="1">
        <f>VALUE(5206)</f>
        <v>5206</v>
      </c>
      <c r="D34" s="1">
        <f>VALUE(4000)</f>
        <v>4000</v>
      </c>
      <c r="E34" s="1">
        <f>VALUE(4988)</f>
        <v>4988</v>
      </c>
      <c r="F34" s="1">
        <f>VALUE(4177)</f>
        <v>4177</v>
      </c>
      <c r="G34" s="1">
        <f>VALUE(4348)</f>
        <v>4348</v>
      </c>
      <c r="H34" s="1">
        <f>VALUE(-1206)</f>
        <v>-1206</v>
      </c>
      <c r="I34" s="1">
        <f>VALUE(-811)</f>
        <v>-811</v>
      </c>
      <c r="J34" s="1">
        <f>VALUE(-640)</f>
        <v>-640</v>
      </c>
      <c r="K34" t="s">
        <v>18</v>
      </c>
    </row>
    <row r="35" spans="1:11" x14ac:dyDescent="0.25">
      <c r="A35" t="s">
        <v>31</v>
      </c>
      <c r="B35" t="s">
        <v>35</v>
      </c>
      <c r="C35" s="1">
        <f>VALUE(4838)</f>
        <v>4838</v>
      </c>
      <c r="D35" s="1">
        <f>VALUE(4939)</f>
        <v>4939</v>
      </c>
      <c r="E35" s="1">
        <f>VALUE(4855)</f>
        <v>4855</v>
      </c>
      <c r="F35" s="1">
        <f>VALUE(4969)</f>
        <v>4969</v>
      </c>
      <c r="G35" s="1">
        <f>VALUE(4910)</f>
        <v>4910</v>
      </c>
      <c r="H35" s="1">
        <f>VALUE(101)</f>
        <v>101</v>
      </c>
      <c r="I35" s="1">
        <f>VALUE(114)</f>
        <v>114</v>
      </c>
      <c r="J35" s="1">
        <f>VALUE(55)</f>
        <v>55</v>
      </c>
      <c r="K35" t="s">
        <v>13</v>
      </c>
    </row>
    <row r="36" spans="1:11" x14ac:dyDescent="0.25">
      <c r="A36" t="s">
        <v>32</v>
      </c>
      <c r="B36" t="s">
        <v>35</v>
      </c>
      <c r="C36" s="1">
        <f>VALUE(4286)</f>
        <v>4286</v>
      </c>
      <c r="D36" s="1">
        <f>VALUE(3919)</f>
        <v>3919</v>
      </c>
      <c r="E36" s="1">
        <f>VALUE(4332)</f>
        <v>4332</v>
      </c>
      <c r="F36" s="1">
        <f>VALUE(3892)</f>
        <v>3892</v>
      </c>
      <c r="G36" s="1">
        <f>VALUE(3919)</f>
        <v>3919</v>
      </c>
      <c r="H36" s="1">
        <f>VALUE(-367)</f>
        <v>-367</v>
      </c>
      <c r="I36" s="1">
        <f>VALUE(-440)</f>
        <v>-440</v>
      </c>
      <c r="J36" s="1">
        <f>VALUE(-413)</f>
        <v>-413</v>
      </c>
      <c r="K36" t="s">
        <v>24</v>
      </c>
    </row>
    <row r="37" spans="1:11" x14ac:dyDescent="0.25">
      <c r="A37" t="s">
        <v>34</v>
      </c>
      <c r="B37" t="s">
        <v>35</v>
      </c>
      <c r="C37" s="1">
        <f>VALUE(3143)</f>
        <v>3143</v>
      </c>
      <c r="D37" s="1">
        <f>VALUE(3619)</f>
        <v>3619</v>
      </c>
      <c r="E37" s="1">
        <f>VALUE(3163)</f>
        <v>3163</v>
      </c>
      <c r="F37" s="1">
        <f>VALUE(3599)</f>
        <v>3599</v>
      </c>
      <c r="G37" s="1">
        <f>VALUE(3619)</f>
        <v>3619</v>
      </c>
      <c r="H37" s="1">
        <f>VALUE(476)</f>
        <v>476</v>
      </c>
      <c r="I37" s="1">
        <f>VALUE(436)</f>
        <v>436</v>
      </c>
      <c r="J37" s="1">
        <f>VALUE(456)</f>
        <v>456</v>
      </c>
      <c r="K37" t="s">
        <v>24</v>
      </c>
    </row>
    <row r="38" spans="1:11" x14ac:dyDescent="0.25">
      <c r="A38" t="s">
        <v>11</v>
      </c>
      <c r="B38" t="s">
        <v>36</v>
      </c>
      <c r="C38" s="1">
        <f>VALUE(5015)</f>
        <v>5015</v>
      </c>
      <c r="D38" s="1">
        <f>VALUE(5203)</f>
        <v>5203</v>
      </c>
      <c r="E38" s="1">
        <f>VALUE(5004)</f>
        <v>5004</v>
      </c>
      <c r="F38" s="1">
        <f>VALUE(5203)</f>
        <v>5203</v>
      </c>
      <c r="G38" s="1">
        <f>VALUE(5128)</f>
        <v>5128</v>
      </c>
      <c r="H38" s="1">
        <f>VALUE(188)</f>
        <v>188</v>
      </c>
      <c r="I38" s="1">
        <f>VALUE(199)</f>
        <v>199</v>
      </c>
      <c r="J38" s="1">
        <f>VALUE(124)</f>
        <v>124</v>
      </c>
      <c r="K38" t="s">
        <v>13</v>
      </c>
    </row>
    <row r="39" spans="1:11" x14ac:dyDescent="0.25">
      <c r="A39" t="s">
        <v>14</v>
      </c>
      <c r="B39" t="s">
        <v>36</v>
      </c>
      <c r="C39" s="1">
        <f>VALUE(5904)</f>
        <v>5904</v>
      </c>
      <c r="D39" s="1">
        <f>VALUE(6131)</f>
        <v>6131</v>
      </c>
      <c r="E39" s="1">
        <f>VALUE(5891)</f>
        <v>5891</v>
      </c>
      <c r="F39" s="1">
        <f>VALUE(6065)</f>
        <v>6065</v>
      </c>
      <c r="G39" s="1">
        <f>VALUE(5965)</f>
        <v>5965</v>
      </c>
      <c r="H39" s="1">
        <f>VALUE(227)</f>
        <v>227</v>
      </c>
      <c r="I39" s="1">
        <f>VALUE(174)</f>
        <v>174</v>
      </c>
      <c r="J39" s="1">
        <f>VALUE(74)</f>
        <v>74</v>
      </c>
      <c r="K39" t="s">
        <v>18</v>
      </c>
    </row>
    <row r="40" spans="1:11" x14ac:dyDescent="0.25">
      <c r="A40" t="s">
        <v>16</v>
      </c>
      <c r="B40" t="s">
        <v>36</v>
      </c>
      <c r="C40" s="1">
        <f>VALUE(4603)</f>
        <v>4603</v>
      </c>
      <c r="D40" s="1">
        <f>VALUE(4417)</f>
        <v>4417</v>
      </c>
      <c r="E40" s="1">
        <f>VALUE(4604)</f>
        <v>4604</v>
      </c>
      <c r="F40" s="1">
        <f>VALUE(4416)</f>
        <v>4416</v>
      </c>
      <c r="G40" s="1">
        <f>VALUE(4444)</f>
        <v>4444</v>
      </c>
      <c r="H40" s="1">
        <f>VALUE(-186)</f>
        <v>-186</v>
      </c>
      <c r="I40" s="1">
        <f>VALUE(-188)</f>
        <v>-188</v>
      </c>
      <c r="J40" s="1">
        <f>VALUE(-160)</f>
        <v>-160</v>
      </c>
      <c r="K40" t="s">
        <v>13</v>
      </c>
    </row>
    <row r="41" spans="1:11" x14ac:dyDescent="0.25">
      <c r="A41" t="s">
        <v>17</v>
      </c>
      <c r="B41" t="s">
        <v>36</v>
      </c>
      <c r="C41" s="1">
        <f>VALUE(6440)</f>
        <v>6440</v>
      </c>
      <c r="D41" s="1">
        <f>VALUE(6926)</f>
        <v>6926</v>
      </c>
      <c r="E41" s="1">
        <f>VALUE(6564)</f>
        <v>6564</v>
      </c>
      <c r="F41" s="1">
        <f>VALUE(6716)</f>
        <v>6716</v>
      </c>
      <c r="G41" s="1">
        <f>VALUE(7378)</f>
        <v>7378</v>
      </c>
      <c r="H41" s="1">
        <f>VALUE(486)</f>
        <v>486</v>
      </c>
      <c r="I41" s="1">
        <f>VALUE(152)</f>
        <v>152</v>
      </c>
      <c r="J41" s="1">
        <f>VALUE(814)</f>
        <v>814</v>
      </c>
      <c r="K41" t="s">
        <v>18</v>
      </c>
    </row>
    <row r="42" spans="1:11" x14ac:dyDescent="0.25">
      <c r="A42" t="s">
        <v>19</v>
      </c>
      <c r="B42" t="s">
        <v>36</v>
      </c>
      <c r="C42" s="1">
        <f>VALUE(4252)</f>
        <v>4252</v>
      </c>
      <c r="D42" s="1">
        <f>VALUE(4172)</f>
        <v>4172</v>
      </c>
      <c r="E42" s="1">
        <f>VALUE(4209)</f>
        <v>4209</v>
      </c>
      <c r="F42" s="1">
        <f>VALUE(4133)</f>
        <v>4133</v>
      </c>
      <c r="G42" s="1">
        <f>VALUE(4103)</f>
        <v>4103</v>
      </c>
      <c r="H42" s="1">
        <f>VALUE(-80)</f>
        <v>-80</v>
      </c>
      <c r="I42" s="1">
        <f>VALUE(-76)</f>
        <v>-76</v>
      </c>
      <c r="J42" s="1">
        <f>VALUE(-106)</f>
        <v>-106</v>
      </c>
      <c r="K42" t="s">
        <v>18</v>
      </c>
    </row>
    <row r="43" spans="1:11" x14ac:dyDescent="0.25">
      <c r="A43" t="s">
        <v>20</v>
      </c>
      <c r="B43" t="s">
        <v>36</v>
      </c>
      <c r="C43" s="1">
        <f>VALUE(5558)</f>
        <v>5558</v>
      </c>
      <c r="D43" s="1">
        <f>VALUE(5813)</f>
        <v>5813</v>
      </c>
      <c r="E43" s="1">
        <f>VALUE(5577)</f>
        <v>5577</v>
      </c>
      <c r="F43" s="1">
        <f>VALUE(5822)</f>
        <v>5822</v>
      </c>
      <c r="G43" s="1">
        <f>VALUE(5887)</f>
        <v>5887</v>
      </c>
      <c r="H43" s="1">
        <f>VALUE(255)</f>
        <v>255</v>
      </c>
      <c r="I43" s="1">
        <f>VALUE(245)</f>
        <v>245</v>
      </c>
      <c r="J43" s="1">
        <f>VALUE(310)</f>
        <v>310</v>
      </c>
      <c r="K43" t="s">
        <v>13</v>
      </c>
    </row>
    <row r="44" spans="1:11" x14ac:dyDescent="0.25">
      <c r="A44" t="s">
        <v>21</v>
      </c>
      <c r="B44" t="s">
        <v>36</v>
      </c>
      <c r="C44" s="1">
        <f>VALUE(4566)</f>
        <v>4566</v>
      </c>
      <c r="D44" s="1">
        <f>VALUE(5000)</f>
        <v>5000</v>
      </c>
      <c r="E44" s="1">
        <f>VALUE(4563)</f>
        <v>4563</v>
      </c>
      <c r="F44" s="1">
        <f>VALUE(4996)</f>
        <v>4996</v>
      </c>
      <c r="G44" s="1">
        <f>VALUE(4915)</f>
        <v>4915</v>
      </c>
      <c r="H44" s="1">
        <f>VALUE(434)</f>
        <v>434</v>
      </c>
      <c r="I44" s="1">
        <f>VALUE(433)</f>
        <v>433</v>
      </c>
      <c r="J44" s="1">
        <f>VALUE(352)</f>
        <v>352</v>
      </c>
      <c r="K44" t="s">
        <v>13</v>
      </c>
    </row>
    <row r="45" spans="1:11" x14ac:dyDescent="0.25">
      <c r="A45" t="s">
        <v>22</v>
      </c>
      <c r="B45" t="s">
        <v>36</v>
      </c>
      <c r="C45" s="1">
        <f>VALUE(5009)</f>
        <v>5009</v>
      </c>
      <c r="D45" s="1">
        <f>VALUE(4778)</f>
        <v>4778</v>
      </c>
      <c r="E45" s="1">
        <f>VALUE(5052)</f>
        <v>5052</v>
      </c>
      <c r="F45" s="1">
        <f>VALUE(4704)</f>
        <v>4704</v>
      </c>
      <c r="G45" s="1">
        <f>VALUE(5283)</f>
        <v>5283</v>
      </c>
      <c r="H45" s="1">
        <f>VALUE(-231)</f>
        <v>-231</v>
      </c>
      <c r="I45" s="1">
        <f>VALUE(-348)</f>
        <v>-348</v>
      </c>
      <c r="J45" s="1">
        <f>VALUE(231)</f>
        <v>231</v>
      </c>
      <c r="K45" t="s">
        <v>13</v>
      </c>
    </row>
    <row r="46" spans="1:11" x14ac:dyDescent="0.25">
      <c r="A46" t="s">
        <v>23</v>
      </c>
      <c r="B46" t="s">
        <v>36</v>
      </c>
      <c r="C46" s="1">
        <f>VALUE(3765)</f>
        <v>3765</v>
      </c>
      <c r="D46" s="1">
        <f>VALUE(3947)</f>
        <v>3947</v>
      </c>
      <c r="E46" s="1">
        <f>VALUE(3716)</f>
        <v>3716</v>
      </c>
      <c r="F46" s="1">
        <f>VALUE(3948)</f>
        <v>3948</v>
      </c>
      <c r="G46" s="1">
        <f>VALUE(4027)</f>
        <v>4027</v>
      </c>
      <c r="H46" s="1">
        <f>VALUE(182)</f>
        <v>182</v>
      </c>
      <c r="I46" s="1">
        <f>VALUE(232)</f>
        <v>232</v>
      </c>
      <c r="J46" s="1">
        <f>VALUE(311)</f>
        <v>311</v>
      </c>
      <c r="K46" t="s">
        <v>24</v>
      </c>
    </row>
    <row r="47" spans="1:11" x14ac:dyDescent="0.25">
      <c r="A47" t="s">
        <v>25</v>
      </c>
      <c r="B47" t="s">
        <v>36</v>
      </c>
      <c r="C47" s="1">
        <f>VALUE(6292)</f>
        <v>6292</v>
      </c>
      <c r="D47" s="1">
        <f>VALUE(6065)</f>
        <v>6065</v>
      </c>
      <c r="E47" s="1">
        <f>VALUE(6322)</f>
        <v>6322</v>
      </c>
      <c r="F47" s="1">
        <f>VALUE(6070)</f>
        <v>6070</v>
      </c>
      <c r="G47" s="1">
        <f>VALUE(6648)</f>
        <v>6648</v>
      </c>
      <c r="H47" s="1">
        <f>VALUE(-227)</f>
        <v>-227</v>
      </c>
      <c r="I47" s="1">
        <f>VALUE(-252)</f>
        <v>-252</v>
      </c>
      <c r="J47" s="1">
        <f>VALUE(326)</f>
        <v>326</v>
      </c>
      <c r="K47" t="s">
        <v>13</v>
      </c>
    </row>
    <row r="48" spans="1:11" x14ac:dyDescent="0.25">
      <c r="A48" t="s">
        <v>26</v>
      </c>
      <c r="B48" t="s">
        <v>36</v>
      </c>
      <c r="C48" s="1">
        <f>VALUE(7658)</f>
        <v>7658</v>
      </c>
      <c r="D48" s="1">
        <f>VALUE(8370)</f>
        <v>8370</v>
      </c>
      <c r="E48" s="1">
        <f>VALUE(7432)</f>
        <v>7432</v>
      </c>
      <c r="F48" s="1">
        <f>VALUE(8386)</f>
        <v>8386</v>
      </c>
      <c r="G48" s="1">
        <f>VALUE(7901)</f>
        <v>7901</v>
      </c>
      <c r="H48" s="1">
        <f>VALUE(712)</f>
        <v>712</v>
      </c>
      <c r="I48" s="1">
        <f>VALUE(954)</f>
        <v>954</v>
      </c>
      <c r="J48" s="1">
        <f>VALUE(469)</f>
        <v>469</v>
      </c>
      <c r="K48" t="s">
        <v>18</v>
      </c>
    </row>
    <row r="49" spans="1:11" x14ac:dyDescent="0.25">
      <c r="A49" t="s">
        <v>27</v>
      </c>
      <c r="B49" t="s">
        <v>36</v>
      </c>
      <c r="C49" s="1">
        <f>VALUE(5527)</f>
        <v>5527</v>
      </c>
      <c r="D49" s="1">
        <f>VALUE(5467)</f>
        <v>5467</v>
      </c>
      <c r="E49" s="1">
        <f>VALUE(5527)</f>
        <v>5527</v>
      </c>
      <c r="F49" s="1">
        <f>VALUE(5654)</f>
        <v>5654</v>
      </c>
      <c r="G49" s="1">
        <f>VALUE(5370)</f>
        <v>5370</v>
      </c>
      <c r="H49" s="1">
        <f>VALUE(-60)</f>
        <v>-60</v>
      </c>
      <c r="I49" s="1">
        <f>VALUE(127)</f>
        <v>127</v>
      </c>
      <c r="J49" s="1">
        <f>VALUE(-157)</f>
        <v>-157</v>
      </c>
      <c r="K49" t="s">
        <v>24</v>
      </c>
    </row>
    <row r="50" spans="1:11" x14ac:dyDescent="0.25">
      <c r="A50" t="s">
        <v>28</v>
      </c>
      <c r="B50" t="s">
        <v>36</v>
      </c>
      <c r="C50" s="1">
        <f>VALUE(5850)</f>
        <v>5850</v>
      </c>
      <c r="D50" s="1">
        <f>VALUE(5968)</f>
        <v>5968</v>
      </c>
      <c r="E50" s="1">
        <f>VALUE(5958)</f>
        <v>5958</v>
      </c>
      <c r="F50" s="1">
        <f>VALUE(5996)</f>
        <v>5996</v>
      </c>
      <c r="G50" s="1">
        <f>VALUE(6300)</f>
        <v>6300</v>
      </c>
      <c r="H50" s="1">
        <f>VALUE(118)</f>
        <v>118</v>
      </c>
      <c r="I50" s="1">
        <f>VALUE(38)</f>
        <v>38</v>
      </c>
      <c r="J50" s="1">
        <f>VALUE(342)</f>
        <v>342</v>
      </c>
      <c r="K50" t="s">
        <v>13</v>
      </c>
    </row>
    <row r="51" spans="1:11" x14ac:dyDescent="0.25">
      <c r="A51" t="s">
        <v>29</v>
      </c>
      <c r="B51" t="s">
        <v>36</v>
      </c>
      <c r="C51" s="1">
        <f>VALUE(4025)</f>
        <v>4025</v>
      </c>
      <c r="D51" s="1">
        <f>VALUE(4588)</f>
        <v>4588</v>
      </c>
      <c r="E51" s="1">
        <f>VALUE(4024)</f>
        <v>4024</v>
      </c>
      <c r="F51" s="1">
        <f>VALUE(4554)</f>
        <v>4554</v>
      </c>
      <c r="G51" s="1">
        <f>VALUE(4545)</f>
        <v>4545</v>
      </c>
      <c r="H51" s="1">
        <f>VALUE(563)</f>
        <v>563</v>
      </c>
      <c r="I51" s="1">
        <f>VALUE(530)</f>
        <v>530</v>
      </c>
      <c r="J51" s="1">
        <f>VALUE(521)</f>
        <v>521</v>
      </c>
      <c r="K51" t="s">
        <v>13</v>
      </c>
    </row>
    <row r="52" spans="1:11" x14ac:dyDescent="0.25">
      <c r="A52" t="s">
        <v>30</v>
      </c>
      <c r="B52" t="s">
        <v>36</v>
      </c>
      <c r="C52" s="1">
        <f>VALUE(6062)</f>
        <v>6062</v>
      </c>
      <c r="D52" s="1">
        <f>VALUE(5415)</f>
        <v>5415</v>
      </c>
      <c r="E52" s="1">
        <f>VALUE(6100)</f>
        <v>6100</v>
      </c>
      <c r="F52" s="1">
        <f>VALUE(5548)</f>
        <v>5548</v>
      </c>
      <c r="G52" s="1">
        <f>VALUE(6178)</f>
        <v>6178</v>
      </c>
      <c r="H52" s="1">
        <f>VALUE(-647)</f>
        <v>-647</v>
      </c>
      <c r="I52" s="1">
        <f>VALUE(-552)</f>
        <v>-552</v>
      </c>
      <c r="J52" s="1">
        <f>VALUE(78)</f>
        <v>78</v>
      </c>
      <c r="K52" t="s">
        <v>18</v>
      </c>
    </row>
    <row r="53" spans="1:11" x14ac:dyDescent="0.25">
      <c r="A53" t="s">
        <v>31</v>
      </c>
      <c r="B53" t="s">
        <v>36</v>
      </c>
      <c r="C53" s="1">
        <f>VALUE(5590)</f>
        <v>5590</v>
      </c>
      <c r="D53" s="1">
        <f>VALUE(5755)</f>
        <v>5755</v>
      </c>
      <c r="E53" s="1">
        <f>VALUE(5618)</f>
        <v>5618</v>
      </c>
      <c r="F53" s="1">
        <f>VALUE(5798)</f>
        <v>5798</v>
      </c>
      <c r="G53" s="1">
        <f>VALUE(5656)</f>
        <v>5656</v>
      </c>
      <c r="H53" s="1">
        <f>VALUE(165)</f>
        <v>165</v>
      </c>
      <c r="I53" s="1">
        <f>VALUE(180)</f>
        <v>180</v>
      </c>
      <c r="J53" s="1">
        <f>VALUE(38)</f>
        <v>38</v>
      </c>
      <c r="K53" t="s">
        <v>13</v>
      </c>
    </row>
    <row r="54" spans="1:11" x14ac:dyDescent="0.25">
      <c r="A54" t="s">
        <v>32</v>
      </c>
      <c r="B54" t="s">
        <v>36</v>
      </c>
      <c r="C54" s="1">
        <f>VALUE(5517)</f>
        <v>5517</v>
      </c>
      <c r="D54" s="1">
        <f>VALUE(4874)</f>
        <v>4874</v>
      </c>
      <c r="E54" s="1">
        <f>VALUE(5489)</f>
        <v>5489</v>
      </c>
      <c r="F54" s="1">
        <f>VALUE(4874)</f>
        <v>4874</v>
      </c>
      <c r="G54" s="1">
        <f>VALUE(4835)</f>
        <v>4835</v>
      </c>
      <c r="H54" s="1">
        <f>VALUE(-643)</f>
        <v>-643</v>
      </c>
      <c r="I54" s="1">
        <f>VALUE(-615)</f>
        <v>-615</v>
      </c>
      <c r="J54" s="1">
        <f>VALUE(-654)</f>
        <v>-654</v>
      </c>
      <c r="K54" t="s">
        <v>24</v>
      </c>
    </row>
    <row r="55" spans="1:11" x14ac:dyDescent="0.25">
      <c r="A55" t="s">
        <v>34</v>
      </c>
      <c r="B55" t="s">
        <v>36</v>
      </c>
      <c r="C55" s="1">
        <f>VALUE(4116)</f>
        <v>4116</v>
      </c>
      <c r="D55" s="1">
        <f>VALUE(4761)</f>
        <v>4761</v>
      </c>
      <c r="E55" s="1">
        <f>VALUE(4200)</f>
        <v>4200</v>
      </c>
      <c r="F55" s="1">
        <f>VALUE(4732)</f>
        <v>4732</v>
      </c>
      <c r="G55" s="1">
        <f>VALUE(4569)</f>
        <v>4569</v>
      </c>
      <c r="H55" s="1">
        <f>VALUE(645)</f>
        <v>645</v>
      </c>
      <c r="I55" s="1">
        <f>VALUE(532)</f>
        <v>532</v>
      </c>
      <c r="J55" s="1">
        <f>VALUE(369)</f>
        <v>369</v>
      </c>
      <c r="K55" t="s">
        <v>24</v>
      </c>
    </row>
    <row r="56" spans="1:11" x14ac:dyDescent="0.25">
      <c r="A56" t="s">
        <v>11</v>
      </c>
      <c r="B56" t="s">
        <v>37</v>
      </c>
      <c r="C56" s="1">
        <f>VALUE(6356)</f>
        <v>6356</v>
      </c>
      <c r="D56" s="1">
        <f>VALUE(6736)</f>
        <v>6736</v>
      </c>
      <c r="E56" s="1">
        <f>VALUE(6319)</f>
        <v>6319</v>
      </c>
      <c r="F56" s="1">
        <f>VALUE(6730)</f>
        <v>6730</v>
      </c>
      <c r="G56" s="1">
        <f>VALUE(6651)</f>
        <v>6651</v>
      </c>
      <c r="H56" s="1">
        <f>VALUE(380)</f>
        <v>380</v>
      </c>
      <c r="I56" s="1">
        <f>VALUE(411)</f>
        <v>411</v>
      </c>
      <c r="J56" s="1">
        <f>VALUE(332)</f>
        <v>332</v>
      </c>
      <c r="K56" t="s">
        <v>13</v>
      </c>
    </row>
    <row r="57" spans="1:11" x14ac:dyDescent="0.25">
      <c r="A57" t="s">
        <v>14</v>
      </c>
      <c r="B57" t="s">
        <v>37</v>
      </c>
      <c r="C57" s="1">
        <f>VALUE(6469)</f>
        <v>6469</v>
      </c>
      <c r="D57" s="1">
        <f>VALUE(6669)</f>
        <v>6669</v>
      </c>
      <c r="E57" s="1">
        <f>VALUE(6294)</f>
        <v>6294</v>
      </c>
      <c r="F57" s="1">
        <f>VALUE(6465)</f>
        <v>6465</v>
      </c>
      <c r="G57" s="1">
        <f>VALUE(6451)</f>
        <v>6451</v>
      </c>
      <c r="H57" s="1">
        <f>VALUE(200)</f>
        <v>200</v>
      </c>
      <c r="I57" s="1">
        <f>VALUE(171)</f>
        <v>171</v>
      </c>
      <c r="J57" s="1">
        <f>VALUE(157)</f>
        <v>157</v>
      </c>
      <c r="K57" t="s">
        <v>18</v>
      </c>
    </row>
    <row r="58" spans="1:11" x14ac:dyDescent="0.25">
      <c r="A58" t="s">
        <v>16</v>
      </c>
      <c r="B58" t="s">
        <v>37</v>
      </c>
      <c r="C58" s="1">
        <f>VALUE(5871)</f>
        <v>5871</v>
      </c>
      <c r="D58" s="1">
        <f>VALUE(5768)</f>
        <v>5768</v>
      </c>
      <c r="E58" s="1">
        <f>VALUE(5874)</f>
        <v>5874</v>
      </c>
      <c r="F58" s="1">
        <f>VALUE(5764)</f>
        <v>5764</v>
      </c>
      <c r="G58" s="1">
        <f>VALUE(5810)</f>
        <v>5810</v>
      </c>
      <c r="H58" s="1">
        <f>VALUE(-103)</f>
        <v>-103</v>
      </c>
      <c r="I58" s="1">
        <f>VALUE(-110)</f>
        <v>-110</v>
      </c>
      <c r="J58" s="1">
        <f>VALUE(-64)</f>
        <v>-64</v>
      </c>
      <c r="K58" t="s">
        <v>13</v>
      </c>
    </row>
    <row r="59" spans="1:11" x14ac:dyDescent="0.25">
      <c r="A59" t="s">
        <v>17</v>
      </c>
      <c r="B59" t="s">
        <v>37</v>
      </c>
      <c r="C59" s="1">
        <f>VALUE(7195)</f>
        <v>7195</v>
      </c>
      <c r="D59" s="1">
        <f>VALUE(8285)</f>
        <v>8285</v>
      </c>
      <c r="E59" s="1">
        <f>VALUE(7449)</f>
        <v>7449</v>
      </c>
      <c r="F59" s="1">
        <f>VALUE(8044)</f>
        <v>8044</v>
      </c>
      <c r="G59" s="1">
        <f>VALUE(8423)</f>
        <v>8423</v>
      </c>
      <c r="H59" s="1">
        <f>VALUE(1090)</f>
        <v>1090</v>
      </c>
      <c r="I59" s="1">
        <f>VALUE(595)</f>
        <v>595</v>
      </c>
      <c r="J59" s="1">
        <f>VALUE(974)</f>
        <v>974</v>
      </c>
      <c r="K59" t="s">
        <v>18</v>
      </c>
    </row>
    <row r="60" spans="1:11" x14ac:dyDescent="0.25">
      <c r="A60" t="s">
        <v>19</v>
      </c>
      <c r="B60" t="s">
        <v>37</v>
      </c>
      <c r="C60" s="1">
        <f>VALUE(4932)</f>
        <v>4932</v>
      </c>
      <c r="D60" s="1">
        <f>VALUE(4761)</f>
        <v>4761</v>
      </c>
      <c r="E60" s="1">
        <f>VALUE(4779)</f>
        <v>4779</v>
      </c>
      <c r="F60" s="1">
        <f>VALUE(4593)</f>
        <v>4593</v>
      </c>
      <c r="G60" s="1">
        <f>VALUE(4593)</f>
        <v>4593</v>
      </c>
      <c r="H60" s="1">
        <f>VALUE(-171)</f>
        <v>-171</v>
      </c>
      <c r="I60" s="1">
        <f>VALUE(-186)</f>
        <v>-186</v>
      </c>
      <c r="J60" s="1">
        <f>VALUE(-186)</f>
        <v>-186</v>
      </c>
      <c r="K60" t="s">
        <v>18</v>
      </c>
    </row>
    <row r="61" spans="1:11" x14ac:dyDescent="0.25">
      <c r="A61" t="s">
        <v>20</v>
      </c>
      <c r="B61" t="s">
        <v>37</v>
      </c>
      <c r="C61" s="1">
        <f>VALUE(6115)</f>
        <v>6115</v>
      </c>
      <c r="D61" s="1">
        <f>VALUE(6634)</f>
        <v>6634</v>
      </c>
      <c r="E61" s="1">
        <f>VALUE(6128)</f>
        <v>6128</v>
      </c>
      <c r="F61" s="1">
        <f>VALUE(6650)</f>
        <v>6650</v>
      </c>
      <c r="G61" s="1">
        <f>VALUE(6785)</f>
        <v>6785</v>
      </c>
      <c r="H61" s="1">
        <f>VALUE(519)</f>
        <v>519</v>
      </c>
      <c r="I61" s="1">
        <f>VALUE(522)</f>
        <v>522</v>
      </c>
      <c r="J61" s="1">
        <f>VALUE(657)</f>
        <v>657</v>
      </c>
      <c r="K61" t="s">
        <v>13</v>
      </c>
    </row>
    <row r="62" spans="1:11" x14ac:dyDescent="0.25">
      <c r="A62" t="s">
        <v>21</v>
      </c>
      <c r="B62" t="s">
        <v>37</v>
      </c>
      <c r="C62" s="1">
        <f>VALUE(5892)</f>
        <v>5892</v>
      </c>
      <c r="D62" s="1">
        <f>VALUE(6362)</f>
        <v>6362</v>
      </c>
      <c r="E62" s="1">
        <f>VALUE(5884)</f>
        <v>5884</v>
      </c>
      <c r="F62" s="1">
        <f>VALUE(6338)</f>
        <v>6338</v>
      </c>
      <c r="G62" s="1">
        <f>VALUE(6334)</f>
        <v>6334</v>
      </c>
      <c r="H62" s="1">
        <f>VALUE(470)</f>
        <v>470</v>
      </c>
      <c r="I62" s="1">
        <f>VALUE(454)</f>
        <v>454</v>
      </c>
      <c r="J62" s="1">
        <f>VALUE(450)</f>
        <v>450</v>
      </c>
      <c r="K62" t="s">
        <v>13</v>
      </c>
    </row>
    <row r="63" spans="1:11" x14ac:dyDescent="0.25">
      <c r="A63" t="s">
        <v>22</v>
      </c>
      <c r="B63" t="s">
        <v>37</v>
      </c>
      <c r="C63" s="1">
        <f>VALUE(6365)</f>
        <v>6365</v>
      </c>
      <c r="D63" s="1">
        <f>VALUE(6091)</f>
        <v>6091</v>
      </c>
      <c r="E63" s="1">
        <f>VALUE(6365)</f>
        <v>6365</v>
      </c>
      <c r="F63" s="1">
        <f>VALUE(6074)</f>
        <v>6074</v>
      </c>
      <c r="G63" s="1">
        <f>VALUE(6536)</f>
        <v>6536</v>
      </c>
      <c r="H63" s="1">
        <f>VALUE(-274)</f>
        <v>-274</v>
      </c>
      <c r="I63" s="1">
        <f>VALUE(-291)</f>
        <v>-291</v>
      </c>
      <c r="J63" s="1">
        <f>VALUE(171)</f>
        <v>171</v>
      </c>
      <c r="K63" t="s">
        <v>13</v>
      </c>
    </row>
    <row r="64" spans="1:11" x14ac:dyDescent="0.25">
      <c r="A64" t="s">
        <v>23</v>
      </c>
      <c r="B64" t="s">
        <v>37</v>
      </c>
      <c r="C64" s="1">
        <f>VALUE(4354)</f>
        <v>4354</v>
      </c>
      <c r="D64" s="1">
        <f>VALUE(4444)</f>
        <v>4444</v>
      </c>
      <c r="E64" s="1">
        <f>VALUE(4333)</f>
        <v>4333</v>
      </c>
      <c r="F64" s="1">
        <f>VALUE(4441)</f>
        <v>4441</v>
      </c>
      <c r="G64" s="1">
        <f>VALUE(4667)</f>
        <v>4667</v>
      </c>
      <c r="H64" s="1">
        <f>VALUE(90)</f>
        <v>90</v>
      </c>
      <c r="I64" s="1">
        <f>VALUE(108)</f>
        <v>108</v>
      </c>
      <c r="J64" s="1">
        <f>VALUE(334)</f>
        <v>334</v>
      </c>
      <c r="K64" t="s">
        <v>24</v>
      </c>
    </row>
    <row r="65" spans="1:11" x14ac:dyDescent="0.25">
      <c r="A65" t="s">
        <v>25</v>
      </c>
      <c r="B65" t="s">
        <v>37</v>
      </c>
      <c r="C65" s="1">
        <f>VALUE(8667)</f>
        <v>8667</v>
      </c>
      <c r="D65" s="1">
        <f>VALUE(8302)</f>
        <v>8302</v>
      </c>
      <c r="E65" s="1">
        <f>VALUE(8628)</f>
        <v>8628</v>
      </c>
      <c r="F65" s="1">
        <f>VALUE(8302)</f>
        <v>8302</v>
      </c>
      <c r="G65" s="1">
        <f>VALUE(8450)</f>
        <v>8450</v>
      </c>
      <c r="H65" s="1">
        <f>VALUE(-365)</f>
        <v>-365</v>
      </c>
      <c r="I65" s="1">
        <f>VALUE(-326)</f>
        <v>-326</v>
      </c>
      <c r="J65" s="1">
        <f>VALUE(-178)</f>
        <v>-178</v>
      </c>
      <c r="K65" t="s">
        <v>13</v>
      </c>
    </row>
    <row r="66" spans="1:11" x14ac:dyDescent="0.25">
      <c r="A66" t="s">
        <v>26</v>
      </c>
      <c r="B66" t="s">
        <v>37</v>
      </c>
      <c r="C66" s="1">
        <f>VALUE(11617)</f>
        <v>11617</v>
      </c>
      <c r="D66" s="1">
        <f>VALUE(12433)</f>
        <v>12433</v>
      </c>
      <c r="E66" s="1">
        <f>VALUE(11117)</f>
        <v>11117</v>
      </c>
      <c r="F66" s="1">
        <f>VALUE(12500)</f>
        <v>12500</v>
      </c>
      <c r="G66" s="1">
        <f>VALUE(11889)</f>
        <v>11889</v>
      </c>
      <c r="H66" s="1">
        <f>VALUE(816)</f>
        <v>816</v>
      </c>
      <c r="I66" s="1">
        <f>VALUE(1383)</f>
        <v>1383</v>
      </c>
      <c r="J66" s="1">
        <f>VALUE(772)</f>
        <v>772</v>
      </c>
      <c r="K66" t="s">
        <v>18</v>
      </c>
    </row>
    <row r="67" spans="1:11" x14ac:dyDescent="0.25">
      <c r="A67" t="s">
        <v>27</v>
      </c>
      <c r="B67" t="s">
        <v>37</v>
      </c>
      <c r="C67" s="1">
        <f>VALUE(6853)</f>
        <v>6853</v>
      </c>
      <c r="D67" s="1">
        <f>VALUE(7221)</f>
        <v>7221</v>
      </c>
      <c r="E67" s="1">
        <f>VALUE(6787)</f>
        <v>6787</v>
      </c>
      <c r="F67" s="1">
        <f>VALUE(7429)</f>
        <v>7429</v>
      </c>
      <c r="G67" s="1">
        <f>VALUE(7221)</f>
        <v>7221</v>
      </c>
      <c r="H67" s="1">
        <f>VALUE(368)</f>
        <v>368</v>
      </c>
      <c r="I67" s="1">
        <f>VALUE(642)</f>
        <v>642</v>
      </c>
      <c r="J67" s="1">
        <f>VALUE(434)</f>
        <v>434</v>
      </c>
      <c r="K67" t="s">
        <v>24</v>
      </c>
    </row>
    <row r="68" spans="1:11" x14ac:dyDescent="0.25">
      <c r="A68" t="s">
        <v>28</v>
      </c>
      <c r="B68" t="s">
        <v>37</v>
      </c>
      <c r="C68" s="1">
        <f>VALUE(8023)</f>
        <v>8023</v>
      </c>
      <c r="D68" s="1">
        <f>VALUE(8300)</f>
        <v>8300</v>
      </c>
      <c r="E68" s="1">
        <f>VALUE(8150)</f>
        <v>8150</v>
      </c>
      <c r="F68" s="1">
        <f>VALUE(8315)</f>
        <v>8315</v>
      </c>
      <c r="G68" s="1">
        <f>VALUE(8665)</f>
        <v>8665</v>
      </c>
      <c r="H68" s="1">
        <f>VALUE(277)</f>
        <v>277</v>
      </c>
      <c r="I68" s="1">
        <f>VALUE(165)</f>
        <v>165</v>
      </c>
      <c r="J68" s="1">
        <f>VALUE(515)</f>
        <v>515</v>
      </c>
      <c r="K68" t="s">
        <v>13</v>
      </c>
    </row>
    <row r="69" spans="1:11" x14ac:dyDescent="0.25">
      <c r="A69" t="s">
        <v>29</v>
      </c>
      <c r="B69" t="s">
        <v>37</v>
      </c>
      <c r="C69" s="1">
        <f>VALUE(4929)</f>
        <v>4929</v>
      </c>
      <c r="D69" s="1">
        <f>VALUE(5754)</f>
        <v>5754</v>
      </c>
      <c r="E69" s="1">
        <f>VALUE(4955)</f>
        <v>4955</v>
      </c>
      <c r="F69" s="1">
        <f>VALUE(5689)</f>
        <v>5689</v>
      </c>
      <c r="G69" s="1">
        <f>VALUE(5732)</f>
        <v>5732</v>
      </c>
      <c r="H69" s="1">
        <f>VALUE(825)</f>
        <v>825</v>
      </c>
      <c r="I69" s="1">
        <f>VALUE(734)</f>
        <v>734</v>
      </c>
      <c r="J69" s="1">
        <f>VALUE(777)</f>
        <v>777</v>
      </c>
      <c r="K69" t="s">
        <v>13</v>
      </c>
    </row>
    <row r="70" spans="1:11" x14ac:dyDescent="0.25">
      <c r="A70" t="s">
        <v>30</v>
      </c>
      <c r="B70" t="s">
        <v>37</v>
      </c>
      <c r="C70" s="1">
        <f>VALUE(7755)</f>
        <v>7755</v>
      </c>
      <c r="D70" s="1">
        <f>VALUE(7016)</f>
        <v>7016</v>
      </c>
      <c r="E70" s="1">
        <f>VALUE(7710)</f>
        <v>7710</v>
      </c>
      <c r="F70" s="1">
        <f>VALUE(7059)</f>
        <v>7059</v>
      </c>
      <c r="G70" s="1">
        <f>VALUE(8063)</f>
        <v>8063</v>
      </c>
      <c r="H70" s="1">
        <f>VALUE(-739)</f>
        <v>-739</v>
      </c>
      <c r="I70" s="1">
        <f>VALUE(-651)</f>
        <v>-651</v>
      </c>
      <c r="J70" s="1">
        <f>VALUE(353)</f>
        <v>353</v>
      </c>
      <c r="K70" t="s">
        <v>18</v>
      </c>
    </row>
    <row r="71" spans="1:11" x14ac:dyDescent="0.25">
      <c r="A71" t="s">
        <v>31</v>
      </c>
      <c r="B71" t="s">
        <v>37</v>
      </c>
      <c r="C71" s="1">
        <f>VALUE(7010)</f>
        <v>7010</v>
      </c>
      <c r="D71" s="1">
        <f>VALUE(7202)</f>
        <v>7202</v>
      </c>
      <c r="E71" s="1">
        <f>VALUE(7036)</f>
        <v>7036</v>
      </c>
      <c r="F71" s="1">
        <f>VALUE(7242)</f>
        <v>7242</v>
      </c>
      <c r="G71" s="1">
        <f>VALUE(7097)</f>
        <v>7097</v>
      </c>
      <c r="H71" s="1">
        <f>VALUE(192)</f>
        <v>192</v>
      </c>
      <c r="I71" s="1">
        <f>VALUE(206)</f>
        <v>206</v>
      </c>
      <c r="J71" s="1">
        <f>VALUE(61)</f>
        <v>61</v>
      </c>
      <c r="K71" t="s">
        <v>13</v>
      </c>
    </row>
    <row r="72" spans="1:11" x14ac:dyDescent="0.25">
      <c r="A72" t="s">
        <v>32</v>
      </c>
      <c r="B72" t="s">
        <v>37</v>
      </c>
      <c r="C72" s="1">
        <f>VALUE(6870)</f>
        <v>6870</v>
      </c>
      <c r="D72" s="1">
        <f>VALUE(6496)</f>
        <v>6496</v>
      </c>
      <c r="E72" s="1">
        <f>VALUE(6870)</f>
        <v>6870</v>
      </c>
      <c r="F72" s="1">
        <f>VALUE(6390)</f>
        <v>6390</v>
      </c>
      <c r="G72" s="1">
        <f>VALUE(6371)</f>
        <v>6371</v>
      </c>
      <c r="H72" s="1">
        <f>VALUE(-374)</f>
        <v>-374</v>
      </c>
      <c r="I72" s="1">
        <f>VALUE(-480)</f>
        <v>-480</v>
      </c>
      <c r="J72" s="1">
        <f>VALUE(-499)</f>
        <v>-499</v>
      </c>
      <c r="K72" t="s">
        <v>24</v>
      </c>
    </row>
    <row r="73" spans="1:11" x14ac:dyDescent="0.25">
      <c r="A73" t="s">
        <v>34</v>
      </c>
      <c r="B73" t="s">
        <v>37</v>
      </c>
      <c r="C73" s="1">
        <f>VALUE(5893)</f>
        <v>5893</v>
      </c>
      <c r="D73" s="1">
        <f>VALUE(6595)</f>
        <v>6595</v>
      </c>
      <c r="E73" s="1">
        <f>VALUE(5950)</f>
        <v>5950</v>
      </c>
      <c r="F73" s="1">
        <f>VALUE(6596)</f>
        <v>6596</v>
      </c>
      <c r="G73" s="1">
        <f>VALUE(6517)</f>
        <v>6517</v>
      </c>
      <c r="H73" s="1">
        <f>VALUE(702)</f>
        <v>702</v>
      </c>
      <c r="I73" s="1">
        <f>VALUE(646)</f>
        <v>646</v>
      </c>
      <c r="J73" s="1">
        <f>VALUE(567)</f>
        <v>567</v>
      </c>
      <c r="K73" t="s">
        <v>24</v>
      </c>
    </row>
    <row r="74" spans="1:11" x14ac:dyDescent="0.25">
      <c r="A74" t="s">
        <v>11</v>
      </c>
      <c r="B74" t="s">
        <v>38</v>
      </c>
      <c r="C74" s="1">
        <f>VALUE(8574)</f>
        <v>8574</v>
      </c>
      <c r="D74" s="1">
        <f>VALUE(9640)</f>
        <v>9640</v>
      </c>
      <c r="E74" s="1">
        <f>VALUE(8360)</f>
        <v>8360</v>
      </c>
      <c r="F74" s="1">
        <f>VALUE(9642)</f>
        <v>9642</v>
      </c>
      <c r="G74" s="1">
        <f>VALUE(9299)</f>
        <v>9299</v>
      </c>
      <c r="H74" s="1">
        <f>VALUE(1066)</f>
        <v>1066</v>
      </c>
      <c r="I74" s="1">
        <f>VALUE(1282)</f>
        <v>1282</v>
      </c>
      <c r="J74" s="1">
        <f>VALUE(939)</f>
        <v>939</v>
      </c>
      <c r="K74" t="s">
        <v>13</v>
      </c>
    </row>
    <row r="75" spans="1:11" x14ac:dyDescent="0.25">
      <c r="A75" t="s">
        <v>14</v>
      </c>
      <c r="B75" t="s">
        <v>38</v>
      </c>
      <c r="C75" s="1">
        <f>VALUE(7248)</f>
        <v>7248</v>
      </c>
      <c r="D75" s="1">
        <f>VALUE(7961)</f>
        <v>7961</v>
      </c>
      <c r="E75" s="1">
        <f>VALUE(6853)</f>
        <v>6853</v>
      </c>
      <c r="F75" s="1">
        <f>VALUE(7630)</f>
        <v>7630</v>
      </c>
      <c r="G75" s="1">
        <f>VALUE(6883)</f>
        <v>6883</v>
      </c>
      <c r="H75" s="1">
        <f>VALUE(713)</f>
        <v>713</v>
      </c>
      <c r="I75" s="1">
        <f>VALUE(777)</f>
        <v>777</v>
      </c>
      <c r="J75" s="1">
        <f>VALUE(30)</f>
        <v>30</v>
      </c>
      <c r="K75" t="s">
        <v>18</v>
      </c>
    </row>
    <row r="76" spans="1:11" x14ac:dyDescent="0.25">
      <c r="A76" t="s">
        <v>16</v>
      </c>
      <c r="B76" t="s">
        <v>38</v>
      </c>
      <c r="C76" s="1">
        <f>VALUE(7587)</f>
        <v>7587</v>
      </c>
      <c r="D76" s="1">
        <f>VALUE(8092)</f>
        <v>8092</v>
      </c>
      <c r="E76" s="1">
        <f>VALUE(7608)</f>
        <v>7608</v>
      </c>
      <c r="F76" s="1">
        <f>VALUE(8092)</f>
        <v>8092</v>
      </c>
      <c r="G76" s="1">
        <f>VALUE(8198)</f>
        <v>8198</v>
      </c>
      <c r="H76" s="1">
        <f>VALUE(505)</f>
        <v>505</v>
      </c>
      <c r="I76" s="1">
        <f>VALUE(484)</f>
        <v>484</v>
      </c>
      <c r="J76" s="1">
        <f>VALUE(590)</f>
        <v>590</v>
      </c>
      <c r="K76" t="s">
        <v>13</v>
      </c>
    </row>
    <row r="77" spans="1:11" x14ac:dyDescent="0.25">
      <c r="A77" t="s">
        <v>17</v>
      </c>
      <c r="B77" t="s">
        <v>38</v>
      </c>
      <c r="C77" s="2">
        <f>VALUE(8478)</f>
        <v>8478</v>
      </c>
      <c r="D77" s="2">
        <f>VALUE(11081)</f>
        <v>11081</v>
      </c>
      <c r="E77" s="2">
        <f>VALUE(8624)</f>
        <v>8624</v>
      </c>
      <c r="F77" s="2">
        <f>VALUE(10199)</f>
        <v>10199</v>
      </c>
      <c r="G77" s="2">
        <f>VALUE(12313)</f>
        <v>12313</v>
      </c>
      <c r="H77" s="2">
        <f>VALUE(2603)</f>
        <v>2603</v>
      </c>
      <c r="I77" s="2">
        <f>VALUE(1575)</f>
        <v>1575</v>
      </c>
      <c r="J77" s="2">
        <f>VALUE(3689)</f>
        <v>3689</v>
      </c>
      <c r="K77" t="s">
        <v>15</v>
      </c>
    </row>
    <row r="78" spans="1:11" x14ac:dyDescent="0.25">
      <c r="A78" t="s">
        <v>19</v>
      </c>
      <c r="B78" t="s">
        <v>38</v>
      </c>
      <c r="C78" s="2">
        <f>VALUE(6089)</f>
        <v>6089</v>
      </c>
      <c r="D78" s="2">
        <f>VALUE(6286)</f>
        <v>6286</v>
      </c>
      <c r="E78" s="2">
        <f>VALUE(5684)</f>
        <v>5684</v>
      </c>
      <c r="F78" s="2">
        <f>VALUE(5762)</f>
        <v>5762</v>
      </c>
      <c r="G78" s="2">
        <f>VALUE(5440)</f>
        <v>5440</v>
      </c>
      <c r="H78" s="2">
        <f>VALUE(197)</f>
        <v>197</v>
      </c>
      <c r="I78" s="2">
        <f>VALUE(78)</f>
        <v>78</v>
      </c>
      <c r="J78" s="2">
        <f>VALUE(-244)</f>
        <v>-244</v>
      </c>
      <c r="K78" t="s">
        <v>15</v>
      </c>
    </row>
    <row r="79" spans="1:11" x14ac:dyDescent="0.25">
      <c r="A79" t="s">
        <v>20</v>
      </c>
      <c r="B79" t="s">
        <v>38</v>
      </c>
      <c r="C79" s="1">
        <f>VALUE(6901)</f>
        <v>6901</v>
      </c>
      <c r="D79" s="1">
        <f>VALUE(8000)</f>
        <v>8000</v>
      </c>
      <c r="E79" s="1">
        <f>VALUE(6909)</f>
        <v>6909</v>
      </c>
      <c r="F79" s="1">
        <f>VALUE(8032)</f>
        <v>8032</v>
      </c>
      <c r="G79" s="1">
        <f>VALUE(7956)</f>
        <v>7956</v>
      </c>
      <c r="H79" s="1">
        <f>VALUE(1099)</f>
        <v>1099</v>
      </c>
      <c r="I79" s="1">
        <f>VALUE(1123)</f>
        <v>1123</v>
      </c>
      <c r="J79" s="1">
        <f>VALUE(1047)</f>
        <v>1047</v>
      </c>
      <c r="K79" t="s">
        <v>13</v>
      </c>
    </row>
    <row r="80" spans="1:11" x14ac:dyDescent="0.25">
      <c r="A80" t="s">
        <v>21</v>
      </c>
      <c r="B80" t="s">
        <v>38</v>
      </c>
      <c r="C80" s="2">
        <f>VALUE(8433)</f>
        <v>8433</v>
      </c>
      <c r="D80" s="2">
        <f>VALUE(9617)</f>
        <v>9617</v>
      </c>
      <c r="E80" s="2">
        <f>VALUE(8360)</f>
        <v>8360</v>
      </c>
      <c r="F80" s="2">
        <f>VALUE(9594)</f>
        <v>9594</v>
      </c>
      <c r="G80" s="2">
        <f>VALUE(9680)</f>
        <v>9680</v>
      </c>
      <c r="H80" s="2">
        <f>VALUE(1184)</f>
        <v>1184</v>
      </c>
      <c r="I80" s="2">
        <f>VALUE(1234)</f>
        <v>1234</v>
      </c>
      <c r="J80" s="2">
        <f>VALUE(1320)</f>
        <v>1320</v>
      </c>
      <c r="K80" t="s">
        <v>39</v>
      </c>
    </row>
    <row r="81" spans="1:11" x14ac:dyDescent="0.25">
      <c r="A81" t="s">
        <v>22</v>
      </c>
      <c r="B81" t="s">
        <v>38</v>
      </c>
      <c r="C81" s="1">
        <f>VALUE(7982)</f>
        <v>7982</v>
      </c>
      <c r="D81" s="1">
        <f>VALUE(7230)</f>
        <v>7230</v>
      </c>
      <c r="E81" s="1">
        <f>VALUE(7945)</f>
        <v>7945</v>
      </c>
      <c r="F81" s="1">
        <f>VALUE(7230)</f>
        <v>7230</v>
      </c>
      <c r="G81" s="1">
        <f>VALUE(8496)</f>
        <v>8496</v>
      </c>
      <c r="H81" s="1">
        <f>VALUE(-752)</f>
        <v>-752</v>
      </c>
      <c r="I81" s="1">
        <f>VALUE(-715)</f>
        <v>-715</v>
      </c>
      <c r="J81" s="1">
        <f>VALUE(551)</f>
        <v>551</v>
      </c>
      <c r="K81" t="s">
        <v>13</v>
      </c>
    </row>
    <row r="82" spans="1:11" x14ac:dyDescent="0.25">
      <c r="A82" t="s">
        <v>23</v>
      </c>
      <c r="B82" t="s">
        <v>38</v>
      </c>
      <c r="C82" s="1">
        <f>VALUE(5390)</f>
        <v>5390</v>
      </c>
      <c r="D82" s="1">
        <f>VALUE(5317)</f>
        <v>5317</v>
      </c>
      <c r="E82" s="1">
        <f>VALUE(5469)</f>
        <v>5469</v>
      </c>
      <c r="F82" s="1">
        <f>VALUE(5329)</f>
        <v>5329</v>
      </c>
      <c r="G82" s="1">
        <f>VALUE(5880)</f>
        <v>5880</v>
      </c>
      <c r="H82" s="1">
        <f>VALUE(-73)</f>
        <v>-73</v>
      </c>
      <c r="I82" s="1">
        <f>VALUE(-140)</f>
        <v>-140</v>
      </c>
      <c r="J82" s="1">
        <f>VALUE(411)</f>
        <v>411</v>
      </c>
      <c r="K82" t="s">
        <v>24</v>
      </c>
    </row>
    <row r="83" spans="1:11" x14ac:dyDescent="0.25">
      <c r="A83" t="s">
        <v>25</v>
      </c>
      <c r="B83" t="s">
        <v>38</v>
      </c>
      <c r="C83" s="1">
        <f>VALUE(11706)</f>
        <v>11706</v>
      </c>
      <c r="D83" s="1">
        <f>VALUE(11389)</f>
        <v>11389</v>
      </c>
      <c r="E83" s="1">
        <f>VALUE(11482)</f>
        <v>11482</v>
      </c>
      <c r="F83" s="1">
        <f>VALUE(11399)</f>
        <v>11399</v>
      </c>
      <c r="G83" s="1">
        <f>VALUE(11807)</f>
        <v>11807</v>
      </c>
      <c r="H83" s="1">
        <f>VALUE(-317)</f>
        <v>-317</v>
      </c>
      <c r="I83" s="1">
        <f>VALUE(-83)</f>
        <v>-83</v>
      </c>
      <c r="J83" s="1">
        <f>VALUE(325)</f>
        <v>325</v>
      </c>
      <c r="K83" t="s">
        <v>13</v>
      </c>
    </row>
    <row r="84" spans="1:11" x14ac:dyDescent="0.25">
      <c r="A84" t="s">
        <v>26</v>
      </c>
      <c r="B84" t="s">
        <v>38</v>
      </c>
      <c r="C84" s="1">
        <f>VALUE(18750)</f>
        <v>18750</v>
      </c>
      <c r="D84" s="1">
        <f>VALUE(18698)</f>
        <v>18698</v>
      </c>
      <c r="E84" s="1">
        <f>VALUE(18003)</f>
        <v>18003</v>
      </c>
      <c r="F84" s="1">
        <f>VALUE(18809)</f>
        <v>18809</v>
      </c>
      <c r="G84" s="1">
        <f>VALUE(17333)</f>
        <v>17333</v>
      </c>
      <c r="H84" s="1">
        <f>VALUE(-52)</f>
        <v>-52</v>
      </c>
      <c r="I84" s="1">
        <f>VALUE(806)</f>
        <v>806</v>
      </c>
      <c r="J84" s="1">
        <f>VALUE(-670)</f>
        <v>-670</v>
      </c>
      <c r="K84" t="s">
        <v>18</v>
      </c>
    </row>
    <row r="85" spans="1:11" x14ac:dyDescent="0.25">
      <c r="A85" t="s">
        <v>27</v>
      </c>
      <c r="B85" t="s">
        <v>38</v>
      </c>
      <c r="C85" s="1">
        <f>VALUE(8875)</f>
        <v>8875</v>
      </c>
      <c r="D85" s="1">
        <f>VALUE(10762)</f>
        <v>10762</v>
      </c>
      <c r="E85" s="1">
        <f>VALUE(8963)</f>
        <v>8963</v>
      </c>
      <c r="F85" s="1">
        <f>VALUE(10926)</f>
        <v>10926</v>
      </c>
      <c r="G85" s="1">
        <f>VALUE(10215)</f>
        <v>10215</v>
      </c>
      <c r="H85" s="1">
        <f>VALUE(1887)</f>
        <v>1887</v>
      </c>
      <c r="I85" s="1">
        <f>VALUE(1963)</f>
        <v>1963</v>
      </c>
      <c r="J85" s="1">
        <f>VALUE(1252)</f>
        <v>1252</v>
      </c>
      <c r="K85" t="s">
        <v>24</v>
      </c>
    </row>
    <row r="86" spans="1:11" x14ac:dyDescent="0.25">
      <c r="A86" t="s">
        <v>28</v>
      </c>
      <c r="B86" t="s">
        <v>38</v>
      </c>
      <c r="C86" s="2">
        <f>VALUE(11213)</f>
        <v>11213</v>
      </c>
      <c r="D86" s="2">
        <f>VALUE(12294)</f>
        <v>12294</v>
      </c>
      <c r="E86" s="2">
        <f>VALUE(11375)</f>
        <v>11375</v>
      </c>
      <c r="F86" s="2">
        <f>VALUE(12368)</f>
        <v>12368</v>
      </c>
      <c r="G86" s="2">
        <f>VALUE(12997)</f>
        <v>12997</v>
      </c>
      <c r="H86" s="2">
        <f>VALUE(1081)</f>
        <v>1081</v>
      </c>
      <c r="I86" s="2">
        <f>VALUE(993)</f>
        <v>993</v>
      </c>
      <c r="J86" s="2">
        <f>VALUE(1622)</f>
        <v>1622</v>
      </c>
      <c r="K86" t="s">
        <v>39</v>
      </c>
    </row>
    <row r="87" spans="1:11" x14ac:dyDescent="0.25">
      <c r="A87" t="s">
        <v>29</v>
      </c>
      <c r="B87" t="s">
        <v>38</v>
      </c>
      <c r="C87" s="1">
        <f>VALUE(6434)</f>
        <v>6434</v>
      </c>
      <c r="D87" s="1">
        <f>VALUE(6675)</f>
        <v>6675</v>
      </c>
      <c r="E87" s="1">
        <f>VALUE(6378)</f>
        <v>6378</v>
      </c>
      <c r="F87" s="1">
        <f>VALUE(6598)</f>
        <v>6598</v>
      </c>
      <c r="G87" s="1">
        <f>VALUE(7375)</f>
        <v>7375</v>
      </c>
      <c r="H87" s="1">
        <f>VALUE(241)</f>
        <v>241</v>
      </c>
      <c r="I87" s="1">
        <f>VALUE(220)</f>
        <v>220</v>
      </c>
      <c r="J87" s="1">
        <f>VALUE(997)</f>
        <v>997</v>
      </c>
      <c r="K87" t="s">
        <v>13</v>
      </c>
    </row>
    <row r="88" spans="1:11" x14ac:dyDescent="0.25">
      <c r="A88" t="s">
        <v>30</v>
      </c>
      <c r="B88" t="s">
        <v>38</v>
      </c>
      <c r="C88" s="2">
        <f>VALUE(10714)</f>
        <v>10714</v>
      </c>
      <c r="D88" s="2">
        <f>VALUE(9007)</f>
        <v>9007</v>
      </c>
      <c r="E88" s="2">
        <f>VALUE(10714)</f>
        <v>10714</v>
      </c>
      <c r="F88" s="2">
        <f>VALUE(9063)</f>
        <v>9063</v>
      </c>
      <c r="G88" s="2">
        <f>VALUE(10477)</f>
        <v>10477</v>
      </c>
      <c r="H88" s="2">
        <f>VALUE(-1707)</f>
        <v>-1707</v>
      </c>
      <c r="I88" s="2">
        <f>VALUE(-1651)</f>
        <v>-1651</v>
      </c>
      <c r="J88" s="2">
        <f>VALUE(-237)</f>
        <v>-237</v>
      </c>
      <c r="K88" t="s">
        <v>15</v>
      </c>
    </row>
    <row r="89" spans="1:11" x14ac:dyDescent="0.25">
      <c r="A89" t="s">
        <v>31</v>
      </c>
      <c r="B89" t="s">
        <v>38</v>
      </c>
      <c r="C89" s="1">
        <f>VALUE(8104)</f>
        <v>8104</v>
      </c>
      <c r="D89" s="1">
        <f>VALUE(8583)</f>
        <v>8583</v>
      </c>
      <c r="E89" s="1">
        <f>VALUE(8118)</f>
        <v>8118</v>
      </c>
      <c r="F89" s="1">
        <f>VALUE(8650)</f>
        <v>8650</v>
      </c>
      <c r="G89" s="1">
        <f>VALUE(8582)</f>
        <v>8582</v>
      </c>
      <c r="H89" s="1">
        <f>VALUE(479)</f>
        <v>479</v>
      </c>
      <c r="I89" s="1">
        <f>VALUE(532)</f>
        <v>532</v>
      </c>
      <c r="J89" s="1">
        <f>VALUE(464)</f>
        <v>464</v>
      </c>
      <c r="K89" t="s">
        <v>13</v>
      </c>
    </row>
    <row r="90" spans="1:11" x14ac:dyDescent="0.25">
      <c r="A90" t="s">
        <v>32</v>
      </c>
      <c r="B90" t="s">
        <v>38</v>
      </c>
      <c r="C90" s="2">
        <f>VALUE(11202)</f>
        <v>11202</v>
      </c>
      <c r="D90" s="2">
        <f>VALUE(9175)</f>
        <v>9175</v>
      </c>
      <c r="E90" s="2">
        <f>VALUE(11137)</f>
        <v>11137</v>
      </c>
      <c r="F90" s="2">
        <f>VALUE(9154)</f>
        <v>9154</v>
      </c>
      <c r="G90" s="2">
        <f>VALUE(9154)</f>
        <v>9154</v>
      </c>
      <c r="H90" s="2">
        <f>VALUE(-2027)</f>
        <v>-2027</v>
      </c>
      <c r="I90" s="2">
        <f>VALUE(-1983)</f>
        <v>-1983</v>
      </c>
      <c r="J90" s="2">
        <f>VALUE(-1983)</f>
        <v>-1983</v>
      </c>
      <c r="K90" t="s">
        <v>33</v>
      </c>
    </row>
    <row r="91" spans="1:11" x14ac:dyDescent="0.25">
      <c r="A91" t="s">
        <v>34</v>
      </c>
      <c r="B91" t="s">
        <v>38</v>
      </c>
      <c r="C91" s="1">
        <f>VALUE(8044)</f>
        <v>8044</v>
      </c>
      <c r="D91" s="1">
        <f>VALUE(8926)</f>
        <v>8926</v>
      </c>
      <c r="E91" s="1">
        <f>VALUE(8125)</f>
        <v>8125</v>
      </c>
      <c r="F91" s="1">
        <f>VALUE(9070)</f>
        <v>9070</v>
      </c>
      <c r="G91" s="1">
        <f>VALUE(9200)</f>
        <v>9200</v>
      </c>
      <c r="H91" s="1">
        <f>VALUE(882)</f>
        <v>882</v>
      </c>
      <c r="I91" s="1">
        <f>VALUE(945)</f>
        <v>945</v>
      </c>
      <c r="J91" s="1">
        <f>VALUE(1075)</f>
        <v>1075</v>
      </c>
      <c r="K91" t="s">
        <v>24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abSelected="1" workbookViewId="0">
      <selection activeCell="D26" sqref="D26"/>
    </sheetView>
  </sheetViews>
  <sheetFormatPr defaultRowHeight="15" x14ac:dyDescent="0.25"/>
  <cols>
    <col min="1" max="1" width="19.5703125" customWidth="1"/>
    <col min="2" max="2" width="110.140625" bestFit="1" customWidth="1"/>
  </cols>
  <sheetData>
    <row r="1" spans="1:2" x14ac:dyDescent="0.25">
      <c r="A1" t="s">
        <v>40</v>
      </c>
      <c r="B1" t="s">
        <v>41</v>
      </c>
    </row>
    <row r="2" spans="1:2" x14ac:dyDescent="0.25">
      <c r="A2" t="s">
        <v>0</v>
      </c>
      <c r="B2" t="s">
        <v>42</v>
      </c>
    </row>
    <row r="3" spans="1:2" x14ac:dyDescent="0.25">
      <c r="A3" t="s">
        <v>1</v>
      </c>
      <c r="B3" t="s">
        <v>43</v>
      </c>
    </row>
    <row r="6" spans="1:2" x14ac:dyDescent="0.25">
      <c r="A6" t="s">
        <v>44</v>
      </c>
    </row>
    <row r="7" spans="1:2" x14ac:dyDescent="0.25">
      <c r="A7" t="s">
        <v>1</v>
      </c>
      <c r="B7" t="s">
        <v>45</v>
      </c>
    </row>
    <row r="8" spans="1:2" x14ac:dyDescent="0.25">
      <c r="A8" t="s">
        <v>2</v>
      </c>
      <c r="B8" t="s">
        <v>46</v>
      </c>
    </row>
    <row r="9" spans="1:2" x14ac:dyDescent="0.25">
      <c r="A9" t="s">
        <v>3</v>
      </c>
      <c r="B9" t="s">
        <v>47</v>
      </c>
    </row>
    <row r="10" spans="1:2" x14ac:dyDescent="0.25">
      <c r="A10" t="s">
        <v>4</v>
      </c>
      <c r="B10" t="s">
        <v>48</v>
      </c>
    </row>
    <row r="11" spans="1:2" x14ac:dyDescent="0.25">
      <c r="A11" t="s">
        <v>5</v>
      </c>
      <c r="B11" t="s">
        <v>49</v>
      </c>
    </row>
    <row r="12" spans="1:2" x14ac:dyDescent="0.25">
      <c r="A12" t="s">
        <v>6</v>
      </c>
      <c r="B12" t="s">
        <v>50</v>
      </c>
    </row>
    <row r="13" spans="1:2" x14ac:dyDescent="0.25">
      <c r="A13" t="s">
        <v>7</v>
      </c>
      <c r="B13" t="s">
        <v>51</v>
      </c>
    </row>
    <row r="14" spans="1:2" x14ac:dyDescent="0.25">
      <c r="A14" t="s">
        <v>8</v>
      </c>
      <c r="B14" t="s">
        <v>52</v>
      </c>
    </row>
    <row r="15" spans="1:2" x14ac:dyDescent="0.25">
      <c r="A15" t="s">
        <v>53</v>
      </c>
      <c r="B15" t="s">
        <v>54</v>
      </c>
    </row>
    <row r="18" spans="1:2" x14ac:dyDescent="0.25">
      <c r="A18" t="s">
        <v>55</v>
      </c>
    </row>
    <row r="19" spans="1:2" x14ac:dyDescent="0.25">
      <c r="A19" t="s">
        <v>56</v>
      </c>
      <c r="B19" t="s">
        <v>57</v>
      </c>
    </row>
    <row r="20" spans="1:2" x14ac:dyDescent="0.25">
      <c r="A20" t="s">
        <v>13</v>
      </c>
      <c r="B20" t="s">
        <v>58</v>
      </c>
    </row>
    <row r="21" spans="1:2" x14ac:dyDescent="0.25">
      <c r="A21" t="s">
        <v>24</v>
      </c>
      <c r="B21" t="s">
        <v>72</v>
      </c>
    </row>
    <row r="22" spans="1:2" x14ac:dyDescent="0.25">
      <c r="A22" t="s">
        <v>18</v>
      </c>
      <c r="B22" t="s">
        <v>59</v>
      </c>
    </row>
    <row r="23" spans="1:2" x14ac:dyDescent="0.25">
      <c r="A23" t="s">
        <v>39</v>
      </c>
      <c r="B23" t="s">
        <v>60</v>
      </c>
    </row>
    <row r="24" spans="1:2" x14ac:dyDescent="0.25">
      <c r="A24" t="s">
        <v>33</v>
      </c>
      <c r="B24" t="s">
        <v>73</v>
      </c>
    </row>
    <row r="25" spans="1:2" x14ac:dyDescent="0.25">
      <c r="A25" t="s">
        <v>15</v>
      </c>
      <c r="B25" t="s">
        <v>61</v>
      </c>
    </row>
    <row r="26" spans="1:2" x14ac:dyDescent="0.25">
      <c r="A26" t="s">
        <v>62</v>
      </c>
      <c r="B26" t="s">
        <v>63</v>
      </c>
    </row>
    <row r="27" spans="1:2" x14ac:dyDescent="0.25">
      <c r="A27" t="s">
        <v>64</v>
      </c>
      <c r="B27" t="s">
        <v>65</v>
      </c>
    </row>
    <row r="30" spans="1:2" x14ac:dyDescent="0.25">
      <c r="A30" s="3" t="str">
        <f>HYPERLINK("http://www4.ti.ch/fileadmin/DFE/DR-USTAT/Prodotti/Definizioni/segni_sigle_simboli.pdf","Segni, simboli, abbreviazioni, sigle e concetti statistici usati nei prodotti dell'Ustat")</f>
        <v>Segni, simboli, abbreviazioni, sigle e concetti statistici usati nei prodotti dell'Ustat</v>
      </c>
    </row>
    <row r="33" spans="1:1" x14ac:dyDescent="0.25">
      <c r="A33" t="s">
        <v>66</v>
      </c>
    </row>
    <row r="34" spans="1:1" x14ac:dyDescent="0.25">
      <c r="A34" s="3" t="str">
        <f>HYPERLINK("https://www3.ti.ch/DFE/DR/USTAT/index.php?fuseaction=definizioni.glossario&amp;tema=35&amp;id=191","Salario mensile lordo standardizzato")</f>
        <v>Salario mensile lordo standardizzato</v>
      </c>
    </row>
    <row r="35" spans="1:1" x14ac:dyDescent="0.25">
      <c r="A35" s="4" t="str">
        <f>HYPERLINK("https://www3.ti.ch/DFE/DR/USTAT/index.php?fuseaction=definizioni.glossario&amp;tema=35&amp;id=1881","Addetti ai sensi della RSS")</f>
        <v>Addetti ai sensi della RSS</v>
      </c>
    </row>
    <row r="36" spans="1:1" x14ac:dyDescent="0.25">
      <c r="A36" s="3" t="str">
        <f>HYPERLINK("https://www3.ti.ch/DFE/DR/USTAT/index.php?fuseaction=definizioni.glossario&amp;tema=35&amp;id=1882","Addetti ETP ai sensi della RSS")</f>
        <v>Addetti ETP ai sensi della RSS</v>
      </c>
    </row>
  </sheetData>
  <pageMargins left="0.7" right="0.7" top="0.75" bottom="0.75" header="0.3" footer="0.3"/>
  <pageSetup paperSize="9" orientation="portrait" horizontalDpi="300" verticalDpi="300"/>
  <tableParts count="3">
    <tablePart r:id="rId1"/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B20" sqref="B20"/>
    </sheetView>
  </sheetViews>
  <sheetFormatPr defaultRowHeight="15" x14ac:dyDescent="0.25"/>
  <sheetData>
    <row r="1" spans="1:1" ht="17.25" x14ac:dyDescent="0.25">
      <c r="A1" t="s">
        <v>67</v>
      </c>
    </row>
    <row r="3" spans="1:1" x14ac:dyDescent="0.25">
      <c r="A3" s="3" t="str">
        <f>HYPERLINK("https://www3.ti.ch/DFE/DR/USTAT/index.php?fuseaction=definizioni.fonti&amp;tema=35&amp;id=64&amp;proID=178","Fonte: Rilevazione della struttura dei salari (RSS), Ufficio federale di statistica, Neuchâtel")</f>
        <v>Fonte: Rilevazione della struttura dei salari (RSS), Ufficio federale di statistica, Neuchâtel</v>
      </c>
    </row>
    <row r="4" spans="1:1" x14ac:dyDescent="0.25">
      <c r="A4" t="s">
        <v>68</v>
      </c>
    </row>
    <row r="6" spans="1:1" x14ac:dyDescent="0.25">
      <c r="A6" t="s">
        <v>69</v>
      </c>
    </row>
    <row r="9" spans="1:1" ht="15.75" x14ac:dyDescent="0.25">
      <c r="A9" s="5" t="s">
        <v>70</v>
      </c>
    </row>
    <row r="10" spans="1:1" x14ac:dyDescent="0.25">
      <c r="A10" s="5" t="s">
        <v>71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Tabella</vt:lpstr>
      <vt:lpstr>Definizioni</vt:lpstr>
      <vt:lpstr>Informazioni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Ustat</dc:creator>
  <cp:lastModifiedBy>Giancone Vincenza / T147696</cp:lastModifiedBy>
  <dcterms:created xsi:type="dcterms:W3CDTF">2022-06-13T16:24:53Z</dcterms:created>
  <dcterms:modified xsi:type="dcterms:W3CDTF">2022-06-17T12:05:58Z</dcterms:modified>
</cp:coreProperties>
</file>